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20" windowHeight="6540" tabRatio="684" firstSheet="2" activeTab="2"/>
  </bookViews>
  <sheets>
    <sheet name="Standards" sheetId="1" state="hidden" r:id="rId1"/>
    <sheet name="Module1" sheetId="2" state="veryHidden" r:id="rId2"/>
    <sheet name="Oceania - Male All" sheetId="3" r:id="rId3"/>
    <sheet name="Oceania - Male Junior" sheetId="4" r:id="rId4"/>
    <sheet name="Oceania - Male Youth" sheetId="5" r:id="rId5"/>
    <sheet name="Oceania - Female All" sheetId="6" r:id="rId6"/>
    <sheet name="Oceania - Female Junior" sheetId="7" r:id="rId7"/>
    <sheet name="Oceania - Female Youth" sheetId="8" r:id="rId8"/>
    <sheet name="WJC - Male" sheetId="9" r:id="rId9"/>
    <sheet name="WJC - Female" sheetId="10" r:id="rId10"/>
  </sheets>
  <externalReferences>
    <externalReference r:id="rId13"/>
  </externalReferences>
  <definedNames>
    <definedName name="Men__weight_categories">'Standards'!$A$32:$B$40</definedName>
    <definedName name="records">'Standards'!$A$3:$B$22</definedName>
    <definedName name="Sexes" localSheetId="6">#REF!</definedName>
    <definedName name="Sexes" localSheetId="7">#REF!</definedName>
    <definedName name="Sexes" localSheetId="3">#REF!</definedName>
    <definedName name="Sexes" localSheetId="4">#REF!</definedName>
    <definedName name="Sexes">#REF!</definedName>
    <definedName name="Women__weight_categories">'Standards'!$A$21:$B$28</definedName>
  </definedNames>
  <calcPr fullCalcOnLoad="1"/>
</workbook>
</file>

<file path=xl/sharedStrings.xml><?xml version="1.0" encoding="utf-8"?>
<sst xmlns="http://schemas.openxmlformats.org/spreadsheetml/2006/main" count="783" uniqueCount="104">
  <si>
    <t>Name</t>
  </si>
  <si>
    <t>Total</t>
  </si>
  <si>
    <t>Born</t>
  </si>
  <si>
    <t>Snatch</t>
  </si>
  <si>
    <t>Age</t>
  </si>
  <si>
    <t>Women: weight categories</t>
  </si>
  <si>
    <t>75+</t>
  </si>
  <si>
    <t>Men: weight categories</t>
  </si>
  <si>
    <t>105+</t>
  </si>
  <si>
    <t>QLD</t>
  </si>
  <si>
    <t>State</t>
  </si>
  <si>
    <t>Bwt</t>
  </si>
  <si>
    <t>Cl &amp; Jk</t>
  </si>
  <si>
    <t>Sinclair</t>
  </si>
  <si>
    <t>Date</t>
  </si>
  <si>
    <t>Competition</t>
  </si>
  <si>
    <t>Elite</t>
  </si>
  <si>
    <t>A Grade</t>
  </si>
  <si>
    <t>B Grade</t>
  </si>
  <si>
    <t>C Grade</t>
  </si>
  <si>
    <t>D Grade</t>
  </si>
  <si>
    <t>E Grade</t>
  </si>
  <si>
    <t>Cat</t>
  </si>
  <si>
    <t>94+</t>
  </si>
  <si>
    <t>Men</t>
  </si>
  <si>
    <t>Yth +94 D Grade</t>
  </si>
  <si>
    <t>Women</t>
  </si>
  <si>
    <t>69+</t>
  </si>
  <si>
    <t>International</t>
  </si>
  <si>
    <t>Scott Clark</t>
  </si>
  <si>
    <t>VIC</t>
  </si>
  <si>
    <t>Steve McConnell</t>
  </si>
  <si>
    <t>NSW</t>
  </si>
  <si>
    <t>Zac Grgurevic</t>
  </si>
  <si>
    <t>TAS</t>
  </si>
  <si>
    <t>SA</t>
  </si>
  <si>
    <t>Yth +69 D Grade</t>
  </si>
  <si>
    <t>Jake Ratcliffe</t>
  </si>
  <si>
    <t>Korey Watson-Watt</t>
  </si>
  <si>
    <t>Joshua Wu</t>
  </si>
  <si>
    <t>James Norman</t>
  </si>
  <si>
    <t>Beth Tolputt</t>
  </si>
  <si>
    <t>Kara Stuart</t>
  </si>
  <si>
    <t>Jonathan Pakchung</t>
  </si>
  <si>
    <t>Sam Baumann</t>
  </si>
  <si>
    <t>Matthew Munns</t>
  </si>
  <si>
    <t>WA</t>
  </si>
  <si>
    <t>Blake Shadbolt</t>
  </si>
  <si>
    <t>Hannah Spitalny</t>
  </si>
  <si>
    <t>Alexandra Martin</t>
  </si>
  <si>
    <t>Courtney Page</t>
  </si>
  <si>
    <t>David Hockins</t>
  </si>
  <si>
    <t>NT</t>
  </si>
  <si>
    <t>Shane Wagner</t>
  </si>
  <si>
    <t>Wei-Jien Tan</t>
  </si>
  <si>
    <t>Liam Larkins</t>
  </si>
  <si>
    <t>Paulo Magistrado</t>
  </si>
  <si>
    <t>Courtenay Chisholm</t>
  </si>
  <si>
    <t>Sophie Cowen</t>
  </si>
  <si>
    <t>Andrea Mullins</t>
  </si>
  <si>
    <t>Bianca Sheppard</t>
  </si>
  <si>
    <t>Boris Elesin</t>
  </si>
  <si>
    <t>Martin Hardy</t>
  </si>
  <si>
    <t>Luke Robinson</t>
  </si>
  <si>
    <t>Patrick Chow</t>
  </si>
  <si>
    <t>Luke Lilli</t>
  </si>
  <si>
    <t>Tiarna Davis</t>
  </si>
  <si>
    <t>Lachlan Robinson</t>
  </si>
  <si>
    <t>2011 Australian Under 15 Tournament</t>
  </si>
  <si>
    <t>Liam Hanlon</t>
  </si>
  <si>
    <t>Chris Roberts</t>
  </si>
  <si>
    <t>Frank McCormack</t>
  </si>
  <si>
    <t>Jackson Farley</t>
  </si>
  <si>
    <t>2011 Australian Youth &amp; Junior Championships</t>
  </si>
  <si>
    <t>James Delaney</t>
  </si>
  <si>
    <t>Basel Rana</t>
  </si>
  <si>
    <t>Jack Furey</t>
  </si>
  <si>
    <t>River Price</t>
  </si>
  <si>
    <t>Dan Dinh</t>
  </si>
  <si>
    <t>Luke Torrisi</t>
  </si>
  <si>
    <t>Tien Nguyen</t>
  </si>
  <si>
    <t>Forbes Jamieson</t>
  </si>
  <si>
    <t>Yakoub Amran</t>
  </si>
  <si>
    <t>Bryce Morgan</t>
  </si>
  <si>
    <t>Patrick Canavan</t>
  </si>
  <si>
    <t>Benjamin Shaw</t>
  </si>
  <si>
    <t>Wes Spargo</t>
  </si>
  <si>
    <t xml:space="preserve">Peyman Imani </t>
  </si>
  <si>
    <t>Nieck Ten-Broek</t>
  </si>
  <si>
    <t>Joshua Quinn</t>
  </si>
  <si>
    <t>Julio Melo</t>
  </si>
  <si>
    <t>Andoni Halkitis</t>
  </si>
  <si>
    <t>Aiden Steiner</t>
  </si>
  <si>
    <t>Matthew Lilli</t>
  </si>
  <si>
    <t>Robin Parr</t>
  </si>
  <si>
    <t>Australian Under 15 Tournament</t>
  </si>
  <si>
    <t>Charrae Myer</t>
  </si>
  <si>
    <t>Hayley Ward</t>
  </si>
  <si>
    <t>Mahinaarangi Rewi</t>
  </si>
  <si>
    <t>Zoe Simon</t>
  </si>
  <si>
    <t>Rachel Goodman</t>
  </si>
  <si>
    <t>Tayla Jackson</t>
  </si>
  <si>
    <t>Chelsea Ballard</t>
  </si>
  <si>
    <t>Sarah Counter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</si>
</sst>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d/mm/yy"/>
    <numFmt numFmtId="167" formatCode="_ * #,##0.00_ ;_ * \-#,##0.00_ ;_ * &quot;-&quot;??_ ;_ @_ "/>
    <numFmt numFmtId="168" formatCode="mmm\-yyyy"/>
    <numFmt numFmtId="169" formatCode="d/mm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10" fontId="3" fillId="0" borderId="0" xfId="57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0" fontId="3" fillId="0" borderId="0" xfId="57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0" fontId="3" fillId="0" borderId="0" xfId="57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4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8" fillId="33" borderId="0" xfId="0" applyFont="1" applyFill="1" applyBorder="1" applyAlignment="1" applyProtection="1">
      <alignment/>
      <protection locked="0"/>
    </xf>
    <xf numFmtId="0" fontId="38" fillId="33" borderId="0" xfId="0" applyFont="1" applyFill="1" applyBorder="1" applyAlignment="1" applyProtection="1">
      <alignment horizontal="center" wrapText="1"/>
      <protection locked="0"/>
    </xf>
    <xf numFmtId="0" fontId="38" fillId="33" borderId="0" xfId="0" applyFont="1" applyFill="1" applyBorder="1" applyAlignment="1" applyProtection="1">
      <alignment wrapText="1"/>
      <protection locked="0"/>
    </xf>
    <xf numFmtId="0" fontId="38" fillId="33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38" fillId="33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8" fillId="33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7" fontId="3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7" fontId="3" fillId="0" borderId="0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38" fillId="33" borderId="0" xfId="0" applyFont="1" applyFill="1" applyBorder="1" applyAlignment="1" applyProtection="1">
      <alignment vertical="center"/>
      <protection locked="0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2" fontId="38" fillId="33" borderId="0" xfId="0" applyNumberFormat="1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horizontal="left" vertical="center"/>
      <protection locked="0"/>
    </xf>
    <xf numFmtId="1" fontId="38" fillId="33" borderId="0" xfId="0" applyNumberFormat="1" applyFont="1" applyFill="1" applyBorder="1" applyAlignment="1">
      <alignment horizontal="center" vertical="center"/>
    </xf>
    <xf numFmtId="1" fontId="38" fillId="33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2" fontId="38" fillId="33" borderId="0" xfId="0" applyNumberFormat="1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8"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RESULTADOS\National\2011\2011%20AWF%20National%20Club%20Championships%20Day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ssion 1"/>
      <sheetName val="Session 2"/>
      <sheetName val="Session 3"/>
      <sheetName val="Session 4"/>
      <sheetName val="Session 5"/>
      <sheetName val="Session 6"/>
      <sheetName val="Session 7"/>
      <sheetName val="Session 8"/>
      <sheetName val="XFit 1"/>
      <sheetName val="XFit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H11" sqref="H11"/>
    </sheetView>
  </sheetViews>
  <sheetFormatPr defaultColWidth="9.140625" defaultRowHeight="12.75"/>
  <cols>
    <col min="3" max="3" width="11.00390625" style="0" bestFit="1" customWidth="1"/>
    <col min="12" max="12" width="11.00390625" style="0" bestFit="1" customWidth="1"/>
  </cols>
  <sheetData>
    <row r="1" spans="1:17" ht="12.75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9" t="s">
        <v>26</v>
      </c>
      <c r="K1" s="10"/>
      <c r="L1" s="10"/>
      <c r="M1" s="10"/>
      <c r="N1" s="10"/>
      <c r="O1" s="10"/>
      <c r="P1" s="10"/>
      <c r="Q1" s="10"/>
    </row>
    <row r="2" spans="1:17" ht="12.75">
      <c r="A2" s="9" t="s">
        <v>22</v>
      </c>
      <c r="B2" s="9" t="s">
        <v>16</v>
      </c>
      <c r="C2" s="9" t="s">
        <v>28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/>
      <c r="J2" s="9" t="s">
        <v>22</v>
      </c>
      <c r="K2" s="9" t="s">
        <v>16</v>
      </c>
      <c r="L2" s="9" t="s">
        <v>28</v>
      </c>
      <c r="M2" s="9" t="s">
        <v>17</v>
      </c>
      <c r="N2" s="9" t="s">
        <v>18</v>
      </c>
      <c r="O2" s="9" t="s">
        <v>19</v>
      </c>
      <c r="P2" s="9" t="s">
        <v>20</v>
      </c>
      <c r="Q2" s="9" t="s">
        <v>21</v>
      </c>
    </row>
    <row r="3" spans="1:17" ht="12.75">
      <c r="A3" s="11">
        <v>50</v>
      </c>
      <c r="B3" s="12">
        <v>228</v>
      </c>
      <c r="C3" s="12">
        <v>205</v>
      </c>
      <c r="D3" s="12">
        <v>188</v>
      </c>
      <c r="E3" s="12">
        <v>171</v>
      </c>
      <c r="F3" s="12">
        <v>134</v>
      </c>
      <c r="G3" s="12">
        <v>113</v>
      </c>
      <c r="H3" s="12">
        <v>92</v>
      </c>
      <c r="I3" s="12"/>
      <c r="J3" s="10">
        <v>44</v>
      </c>
      <c r="K3" s="12">
        <v>153</v>
      </c>
      <c r="L3" s="12">
        <v>137</v>
      </c>
      <c r="M3" s="12">
        <v>126</v>
      </c>
      <c r="N3" s="12">
        <v>114</v>
      </c>
      <c r="O3" s="12">
        <v>90</v>
      </c>
      <c r="P3" s="12">
        <v>76</v>
      </c>
      <c r="Q3" s="12">
        <v>61</v>
      </c>
    </row>
    <row r="4" spans="1:17" ht="12.75">
      <c r="A4" s="11">
        <v>56</v>
      </c>
      <c r="B4" s="12">
        <v>228</v>
      </c>
      <c r="C4" s="12">
        <v>205</v>
      </c>
      <c r="D4" s="12">
        <v>188</v>
      </c>
      <c r="E4" s="12">
        <v>171</v>
      </c>
      <c r="F4" s="12">
        <v>148</v>
      </c>
      <c r="G4" s="12">
        <v>125</v>
      </c>
      <c r="H4" s="12">
        <v>102</v>
      </c>
      <c r="I4" s="12"/>
      <c r="J4" s="10">
        <v>48</v>
      </c>
      <c r="K4" s="12">
        <v>153</v>
      </c>
      <c r="L4" s="12">
        <v>137</v>
      </c>
      <c r="M4" s="12">
        <v>126</v>
      </c>
      <c r="N4" s="12">
        <v>114</v>
      </c>
      <c r="O4" s="12">
        <v>99</v>
      </c>
      <c r="P4" s="12">
        <v>84</v>
      </c>
      <c r="Q4" s="12">
        <v>68</v>
      </c>
    </row>
    <row r="5" spans="1:17" ht="12.75">
      <c r="A5" s="11">
        <v>62</v>
      </c>
      <c r="B5" s="12">
        <v>258</v>
      </c>
      <c r="C5" s="12">
        <v>232</v>
      </c>
      <c r="D5" s="12">
        <v>212</v>
      </c>
      <c r="E5" s="12">
        <v>193</v>
      </c>
      <c r="F5" s="12">
        <v>167</v>
      </c>
      <c r="G5" s="12">
        <v>141</v>
      </c>
      <c r="H5" s="12">
        <v>116</v>
      </c>
      <c r="I5" s="12"/>
      <c r="J5" s="10">
        <v>53</v>
      </c>
      <c r="K5" s="12">
        <v>170</v>
      </c>
      <c r="L5" s="12">
        <v>153</v>
      </c>
      <c r="M5" s="12">
        <v>140</v>
      </c>
      <c r="N5" s="12">
        <v>127</v>
      </c>
      <c r="O5" s="12">
        <v>110</v>
      </c>
      <c r="P5" s="12">
        <v>93</v>
      </c>
      <c r="Q5" s="12">
        <v>76</v>
      </c>
    </row>
    <row r="6" spans="1:17" ht="12.75">
      <c r="A6" s="11">
        <v>69</v>
      </c>
      <c r="B6" s="12">
        <v>274</v>
      </c>
      <c r="C6" s="12">
        <v>246</v>
      </c>
      <c r="D6" s="12">
        <v>226</v>
      </c>
      <c r="E6" s="12">
        <v>205</v>
      </c>
      <c r="F6" s="12">
        <v>178</v>
      </c>
      <c r="G6" s="12">
        <v>150</v>
      </c>
      <c r="H6" s="12">
        <v>123</v>
      </c>
      <c r="I6" s="12"/>
      <c r="J6" s="10">
        <v>58</v>
      </c>
      <c r="K6" s="12">
        <v>177</v>
      </c>
      <c r="L6" s="12">
        <v>159</v>
      </c>
      <c r="M6" s="12">
        <v>146</v>
      </c>
      <c r="N6" s="12">
        <v>132</v>
      </c>
      <c r="O6" s="12">
        <v>115</v>
      </c>
      <c r="P6" s="12">
        <v>97</v>
      </c>
      <c r="Q6" s="12">
        <v>79</v>
      </c>
    </row>
    <row r="7" spans="1:17" ht="12.75">
      <c r="A7" s="11">
        <v>77</v>
      </c>
      <c r="B7" s="12">
        <v>306</v>
      </c>
      <c r="C7" s="12">
        <v>275</v>
      </c>
      <c r="D7" s="12">
        <v>252</v>
      </c>
      <c r="E7" s="12">
        <v>229</v>
      </c>
      <c r="F7" s="12">
        <v>198</v>
      </c>
      <c r="G7" s="12">
        <v>168</v>
      </c>
      <c r="H7" s="12">
        <v>137</v>
      </c>
      <c r="I7" s="12"/>
      <c r="J7" s="10">
        <v>63</v>
      </c>
      <c r="K7" s="12">
        <v>195</v>
      </c>
      <c r="L7" s="12">
        <v>175</v>
      </c>
      <c r="M7" s="12">
        <v>160</v>
      </c>
      <c r="N7" s="12">
        <v>146</v>
      </c>
      <c r="O7" s="12">
        <v>126</v>
      </c>
      <c r="P7" s="12">
        <v>107</v>
      </c>
      <c r="Q7" s="12">
        <v>87</v>
      </c>
    </row>
    <row r="8" spans="1:17" ht="12.75">
      <c r="A8" s="11">
        <v>85</v>
      </c>
      <c r="B8" s="12">
        <v>319</v>
      </c>
      <c r="C8" s="12">
        <v>287</v>
      </c>
      <c r="D8" s="12">
        <v>263</v>
      </c>
      <c r="E8" s="12">
        <v>239</v>
      </c>
      <c r="F8" s="12">
        <v>207</v>
      </c>
      <c r="G8" s="12">
        <v>175</v>
      </c>
      <c r="H8" s="12">
        <v>143</v>
      </c>
      <c r="I8" s="12"/>
      <c r="J8" s="10">
        <v>69</v>
      </c>
      <c r="K8" s="12">
        <v>201</v>
      </c>
      <c r="L8" s="12">
        <v>180</v>
      </c>
      <c r="M8" s="12">
        <v>165</v>
      </c>
      <c r="N8" s="12">
        <v>150</v>
      </c>
      <c r="O8" s="12">
        <v>130</v>
      </c>
      <c r="P8" s="12">
        <v>110</v>
      </c>
      <c r="Q8" s="12">
        <v>90</v>
      </c>
    </row>
    <row r="9" spans="1:17" ht="12.75">
      <c r="A9" s="11">
        <v>94</v>
      </c>
      <c r="B9" s="12">
        <v>338</v>
      </c>
      <c r="C9" s="12">
        <v>304</v>
      </c>
      <c r="D9" s="12">
        <v>278</v>
      </c>
      <c r="E9" s="12">
        <v>253</v>
      </c>
      <c r="F9" s="12">
        <v>219</v>
      </c>
      <c r="G9" s="12">
        <v>185</v>
      </c>
      <c r="H9" s="12">
        <v>152</v>
      </c>
      <c r="I9" s="12"/>
      <c r="J9" s="10">
        <v>75</v>
      </c>
      <c r="K9" s="12">
        <v>202</v>
      </c>
      <c r="L9" s="12">
        <v>181</v>
      </c>
      <c r="M9" s="12">
        <v>166</v>
      </c>
      <c r="N9" s="12">
        <v>151</v>
      </c>
      <c r="O9" s="12">
        <v>131</v>
      </c>
      <c r="P9" s="12">
        <v>111</v>
      </c>
      <c r="Q9" s="12">
        <v>91</v>
      </c>
    </row>
    <row r="10" spans="1:17" ht="12.75">
      <c r="A10" s="11">
        <v>105</v>
      </c>
      <c r="B10" s="12">
        <v>344</v>
      </c>
      <c r="C10" s="12">
        <v>309</v>
      </c>
      <c r="D10" s="12">
        <v>283</v>
      </c>
      <c r="E10" s="12">
        <v>258</v>
      </c>
      <c r="F10" s="12">
        <v>223</v>
      </c>
      <c r="G10" s="12">
        <v>189</v>
      </c>
      <c r="H10" s="12">
        <v>154</v>
      </c>
      <c r="I10" s="12"/>
      <c r="J10" s="13" t="s">
        <v>27</v>
      </c>
      <c r="K10" s="10"/>
      <c r="L10" s="10"/>
      <c r="M10" s="10"/>
      <c r="N10" s="10"/>
      <c r="O10" s="12">
        <v>137</v>
      </c>
      <c r="P10" s="12">
        <v>116</v>
      </c>
      <c r="Q10" s="12">
        <v>95</v>
      </c>
    </row>
    <row r="11" spans="1:17" ht="12.75">
      <c r="A11" s="14" t="s">
        <v>8</v>
      </c>
      <c r="B11" s="12">
        <v>355</v>
      </c>
      <c r="C11" s="12">
        <v>319</v>
      </c>
      <c r="D11" s="12">
        <v>292</v>
      </c>
      <c r="E11" s="12">
        <v>266</v>
      </c>
      <c r="F11" s="12">
        <v>230</v>
      </c>
      <c r="G11" s="12">
        <v>195</v>
      </c>
      <c r="H11" s="12">
        <v>159</v>
      </c>
      <c r="I11" s="12"/>
      <c r="J11" s="15" t="s">
        <v>6</v>
      </c>
      <c r="K11" s="12">
        <v>223</v>
      </c>
      <c r="L11" s="12">
        <v>200</v>
      </c>
      <c r="M11" s="12">
        <v>183</v>
      </c>
      <c r="N11" s="12">
        <v>167</v>
      </c>
      <c r="O11" s="12">
        <v>144</v>
      </c>
      <c r="P11" s="12">
        <v>122</v>
      </c>
      <c r="Q11" s="12">
        <v>100</v>
      </c>
    </row>
    <row r="12" spans="1:17" ht="12.75">
      <c r="A12" s="14" t="s">
        <v>23</v>
      </c>
      <c r="B12" s="12"/>
      <c r="C12" s="12"/>
      <c r="D12" s="12"/>
      <c r="E12" s="12"/>
      <c r="F12" s="12">
        <v>226</v>
      </c>
      <c r="G12" s="12">
        <v>192</v>
      </c>
      <c r="H12" s="12">
        <v>156</v>
      </c>
      <c r="I12" s="12"/>
      <c r="J12" s="16"/>
      <c r="K12" s="10"/>
      <c r="L12" s="10"/>
      <c r="M12" s="10"/>
      <c r="N12" s="10"/>
      <c r="O12" s="10"/>
      <c r="P12" s="10"/>
      <c r="Q12" s="10"/>
    </row>
    <row r="13" spans="1:17" ht="12.75">
      <c r="A13" s="10"/>
      <c r="B13" s="10"/>
      <c r="C13" s="10"/>
      <c r="D13" s="10"/>
      <c r="E13" s="10"/>
      <c r="F13" s="17"/>
      <c r="G13" s="18"/>
      <c r="H13" s="10"/>
      <c r="I13" s="10"/>
      <c r="J13" s="16"/>
      <c r="K13" s="10"/>
      <c r="L13" s="10"/>
      <c r="M13" s="10"/>
      <c r="N13" s="10"/>
      <c r="O13" s="10"/>
      <c r="P13" s="10"/>
      <c r="Q13" s="10"/>
    </row>
    <row r="14" spans="1:17" ht="12.75">
      <c r="A14" s="10"/>
      <c r="B14" s="10"/>
      <c r="C14" s="10"/>
      <c r="D14" s="10"/>
      <c r="E14" s="10"/>
      <c r="F14" s="17"/>
      <c r="G14" s="18"/>
      <c r="H14" s="10"/>
      <c r="I14" s="10"/>
      <c r="J14" s="16"/>
      <c r="K14" s="10"/>
      <c r="L14" s="10"/>
      <c r="M14" s="10"/>
      <c r="N14" s="10"/>
      <c r="O14" s="10"/>
      <c r="P14" s="10"/>
      <c r="Q14" s="10"/>
    </row>
    <row r="15" spans="1:17" ht="12.75">
      <c r="A15" s="10"/>
      <c r="B15" s="10"/>
      <c r="C15" s="10"/>
      <c r="D15" s="10"/>
      <c r="E15" s="10"/>
      <c r="F15" s="17"/>
      <c r="G15" s="18"/>
      <c r="H15" s="10"/>
      <c r="I15" s="10"/>
      <c r="J15" s="16"/>
      <c r="K15" s="10"/>
      <c r="L15" s="10"/>
      <c r="M15" s="10"/>
      <c r="N15" s="10"/>
      <c r="O15" s="10"/>
      <c r="P15" s="10"/>
      <c r="Q15" s="10"/>
    </row>
    <row r="16" spans="1:17" ht="12.75">
      <c r="A16" s="10"/>
      <c r="B16" s="10"/>
      <c r="C16" s="10"/>
      <c r="D16" s="10"/>
      <c r="E16" s="10"/>
      <c r="F16" s="17"/>
      <c r="G16" s="18"/>
      <c r="H16" s="10"/>
      <c r="I16" s="10"/>
      <c r="J16" s="16"/>
      <c r="K16" s="10"/>
      <c r="L16" s="10"/>
      <c r="M16" s="10"/>
      <c r="N16" s="10"/>
      <c r="O16" s="10"/>
      <c r="P16" s="10"/>
      <c r="Q16" s="10"/>
    </row>
    <row r="17" spans="1:17" ht="12.75">
      <c r="A17" s="10"/>
      <c r="B17" s="10"/>
      <c r="C17" s="10"/>
      <c r="D17" s="10"/>
      <c r="E17" s="10"/>
      <c r="F17" s="17"/>
      <c r="G17" s="18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0"/>
      <c r="B18" s="10"/>
      <c r="C18" s="10"/>
      <c r="D18" s="10"/>
      <c r="E18" s="10"/>
      <c r="F18" s="17"/>
      <c r="G18" s="18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0"/>
      <c r="B19" s="10"/>
      <c r="C19" s="10"/>
      <c r="D19" s="10"/>
      <c r="E19" s="10"/>
      <c r="F19" s="17"/>
      <c r="G19" s="18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 t="s">
        <v>5</v>
      </c>
      <c r="B20" s="10"/>
      <c r="C20" s="10"/>
      <c r="D20" s="10"/>
      <c r="E20" s="10"/>
      <c r="F20" s="17"/>
      <c r="G20" s="18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20">
        <v>0</v>
      </c>
      <c r="B21" s="20">
        <v>44</v>
      </c>
      <c r="C21" s="10"/>
      <c r="D21" s="10"/>
      <c r="E21" s="10"/>
      <c r="F21" s="17"/>
      <c r="G21" s="18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>
        <v>44.001</v>
      </c>
      <c r="B22" s="21">
        <v>48</v>
      </c>
      <c r="C22" s="21"/>
      <c r="D22" s="10"/>
      <c r="E22" s="10"/>
      <c r="F22" s="17"/>
      <c r="G22" s="18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>
        <v>48.001</v>
      </c>
      <c r="B23" s="21">
        <v>53</v>
      </c>
      <c r="C23" s="21"/>
      <c r="D23" s="10"/>
      <c r="E23" s="10"/>
      <c r="F23" s="17"/>
      <c r="G23" s="18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21">
        <v>53.001</v>
      </c>
      <c r="B24" s="21">
        <v>58</v>
      </c>
      <c r="C24" s="21"/>
      <c r="D24" s="10"/>
      <c r="E24" s="10"/>
      <c r="F24" s="17"/>
      <c r="G24" s="18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21">
        <v>58.001</v>
      </c>
      <c r="B25" s="21">
        <v>63</v>
      </c>
      <c r="C25" s="21"/>
      <c r="D25" s="10"/>
      <c r="E25" s="10"/>
      <c r="F25" s="17"/>
      <c r="G25" s="18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21">
        <v>63.001</v>
      </c>
      <c r="B26" s="21">
        <v>69</v>
      </c>
      <c r="C26" s="21"/>
      <c r="D26" s="10"/>
      <c r="E26" s="10"/>
      <c r="F26" s="17"/>
      <c r="G26" s="18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21">
        <v>69.001</v>
      </c>
      <c r="B27" s="21">
        <v>75</v>
      </c>
      <c r="C27" s="21"/>
      <c r="D27" s="10"/>
      <c r="E27" s="10"/>
      <c r="F27" s="17"/>
      <c r="G27" s="18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>
        <v>75.001</v>
      </c>
      <c r="B28" s="22" t="s">
        <v>6</v>
      </c>
      <c r="C28" s="22"/>
      <c r="D28" s="10"/>
      <c r="E28" s="10"/>
      <c r="F28" s="17"/>
      <c r="G28" s="18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0"/>
      <c r="B29" s="10"/>
      <c r="C29" s="10"/>
      <c r="D29" s="10"/>
      <c r="E29" s="10"/>
      <c r="F29" s="17"/>
      <c r="G29" s="18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0"/>
      <c r="B30" s="10"/>
      <c r="C30" s="10"/>
      <c r="D30" s="10"/>
      <c r="E30" s="10"/>
      <c r="F30" s="17"/>
      <c r="G30" s="18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9" t="s">
        <v>7</v>
      </c>
      <c r="B31" s="10"/>
      <c r="C31" s="10"/>
      <c r="D31" s="10"/>
      <c r="E31" s="10"/>
      <c r="F31" s="17"/>
      <c r="G31" s="18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20">
        <v>0</v>
      </c>
      <c r="B32" s="20">
        <v>50</v>
      </c>
      <c r="C32" s="10"/>
      <c r="D32" s="10"/>
      <c r="E32" s="10"/>
      <c r="F32" s="17"/>
      <c r="G32" s="18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21">
        <v>50.001</v>
      </c>
      <c r="B33" s="21">
        <v>56</v>
      </c>
      <c r="C33" s="21"/>
      <c r="D33" s="10"/>
      <c r="E33" s="10"/>
      <c r="F33" s="17"/>
      <c r="G33" s="18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21">
        <v>56.001</v>
      </c>
      <c r="B34" s="21">
        <v>62</v>
      </c>
      <c r="C34" s="21"/>
      <c r="D34" s="10"/>
      <c r="E34" s="10"/>
      <c r="F34" s="17"/>
      <c r="G34" s="18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21">
        <v>62.001</v>
      </c>
      <c r="B35" s="21">
        <v>69</v>
      </c>
      <c r="C35" s="21"/>
      <c r="D35" s="10"/>
      <c r="E35" s="10"/>
      <c r="F35" s="17"/>
      <c r="G35" s="18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21">
        <v>69.001</v>
      </c>
      <c r="B36" s="21">
        <v>77</v>
      </c>
      <c r="C36" s="21"/>
      <c r="D36" s="10"/>
      <c r="E36" s="10"/>
      <c r="F36" s="17"/>
      <c r="G36" s="18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21">
        <v>77.001</v>
      </c>
      <c r="B37" s="21">
        <v>85</v>
      </c>
      <c r="C37" s="21"/>
      <c r="D37" s="10"/>
      <c r="E37" s="10"/>
      <c r="F37" s="17"/>
      <c r="G37" s="18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21">
        <v>85.001</v>
      </c>
      <c r="B38" s="21">
        <v>94</v>
      </c>
      <c r="C38" s="21"/>
      <c r="D38" s="10"/>
      <c r="E38" s="10"/>
      <c r="F38" s="17"/>
      <c r="G38" s="18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21">
        <v>94.001</v>
      </c>
      <c r="B39" s="22">
        <v>105</v>
      </c>
      <c r="C39" s="22"/>
      <c r="D39" s="10"/>
      <c r="E39" s="10"/>
      <c r="F39" s="17"/>
      <c r="G39" s="18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21">
        <v>105.001</v>
      </c>
      <c r="B40" s="22" t="s">
        <v>8</v>
      </c>
      <c r="C40" s="22"/>
      <c r="D40" s="10"/>
      <c r="E40" s="10"/>
      <c r="F40" s="17"/>
      <c r="G40" s="18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0"/>
      <c r="B41" s="10"/>
      <c r="C41" s="10"/>
      <c r="D41" s="10"/>
      <c r="E41" s="10"/>
      <c r="F41" s="17"/>
      <c r="G41" s="18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6:7" ht="12.75">
      <c r="F42" s="1"/>
      <c r="G42" s="2"/>
    </row>
    <row r="43" spans="6:7" ht="12.75">
      <c r="F43" s="1"/>
      <c r="G43" s="2"/>
    </row>
    <row r="44" spans="6:7" ht="12.75">
      <c r="F44" s="1"/>
      <c r="G44" s="2"/>
    </row>
    <row r="45" spans="6:7" ht="12.75">
      <c r="F45" s="1"/>
      <c r="G45" s="2"/>
    </row>
    <row r="46" spans="6:7" ht="12.75">
      <c r="F46" s="1"/>
      <c r="G46" s="2"/>
    </row>
    <row r="47" spans="6:7" ht="12.75">
      <c r="F47" s="1"/>
      <c r="G47" s="2"/>
    </row>
    <row r="48" spans="6:7" ht="12.75">
      <c r="F48" s="1"/>
      <c r="G48" s="2"/>
    </row>
    <row r="49" spans="6:7" ht="12.75">
      <c r="F49" s="1"/>
      <c r="G49" s="2"/>
    </row>
    <row r="50" spans="6:7" ht="12.75">
      <c r="F50" s="1"/>
      <c r="G50" s="2"/>
    </row>
    <row r="51" spans="6:7" ht="12.75">
      <c r="F51" s="1"/>
      <c r="G51" s="2"/>
    </row>
    <row r="52" spans="6:7" ht="12.75">
      <c r="F52" s="1"/>
      <c r="G52" s="2"/>
    </row>
    <row r="53" spans="6:7" ht="12.75">
      <c r="F53" s="1"/>
      <c r="G53" s="2"/>
    </row>
    <row r="54" spans="6:7" ht="12.75">
      <c r="F54" s="1"/>
      <c r="G54" s="2"/>
    </row>
    <row r="55" spans="6:7" ht="12.75">
      <c r="F55" s="1"/>
      <c r="G55" s="2"/>
    </row>
    <row r="56" spans="6:7" ht="12.75">
      <c r="F56" s="1"/>
      <c r="G56" s="2"/>
    </row>
    <row r="57" spans="6:7" ht="12.75">
      <c r="F57" s="1"/>
      <c r="G57" s="2"/>
    </row>
    <row r="58" spans="6:7" ht="12.75">
      <c r="F58" s="1"/>
      <c r="G58" s="2"/>
    </row>
    <row r="59" spans="6:7" ht="12.75">
      <c r="F59" s="1"/>
      <c r="G59" s="2"/>
    </row>
    <row r="60" spans="6:7" ht="12.75">
      <c r="F60" s="1"/>
      <c r="G60" s="2"/>
    </row>
    <row r="61" spans="6:7" ht="12.75">
      <c r="F61" s="1"/>
      <c r="G61" s="2"/>
    </row>
    <row r="62" spans="6:7" ht="12.75">
      <c r="F62" s="1"/>
      <c r="G62" s="2"/>
    </row>
    <row r="63" spans="6:7" ht="12.75">
      <c r="F63" s="1"/>
      <c r="G63" s="2"/>
    </row>
    <row r="64" spans="6:7" ht="12.75">
      <c r="F64" s="1"/>
      <c r="G64" s="2"/>
    </row>
    <row r="65" spans="6:7" ht="12.75">
      <c r="F65" s="1"/>
      <c r="G65" s="2"/>
    </row>
    <row r="66" spans="6:7" ht="12.75">
      <c r="F66" s="1"/>
      <c r="G66" s="2"/>
    </row>
    <row r="67" spans="6:7" ht="12.75">
      <c r="F67" s="1"/>
      <c r="G67" s="2"/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3.8515625" style="24" bestFit="1" customWidth="1"/>
    <col min="2" max="2" width="3.57421875" style="24" bestFit="1" customWidth="1"/>
    <col min="3" max="3" width="14.421875" style="24" bestFit="1" customWidth="1"/>
    <col min="4" max="4" width="5.00390625" style="24" bestFit="1" customWidth="1"/>
    <col min="5" max="5" width="4.57421875" style="24" bestFit="1" customWidth="1"/>
    <col min="6" max="6" width="4.8515625" style="24" bestFit="1" customWidth="1"/>
    <col min="7" max="7" width="5.8515625" style="24" bestFit="1" customWidth="1"/>
    <col min="8" max="8" width="5.57421875" style="24" bestFit="1" customWidth="1"/>
    <col min="9" max="9" width="4.28125" style="24" bestFit="1" customWidth="1"/>
    <col min="10" max="10" width="6.57421875" style="24" bestFit="1" customWidth="1"/>
    <col min="11" max="11" width="10.140625" style="24" bestFit="1" customWidth="1"/>
    <col min="12" max="12" width="36.28125" style="24" customWidth="1"/>
    <col min="13" max="16384" width="9.140625" style="24" customWidth="1"/>
  </cols>
  <sheetData>
    <row r="1" spans="1:13" s="3" customFormat="1" ht="11.25">
      <c r="A1" s="28" t="s">
        <v>4</v>
      </c>
      <c r="B1" s="28" t="s">
        <v>22</v>
      </c>
      <c r="C1" s="3" t="s">
        <v>0</v>
      </c>
      <c r="D1" s="4" t="s">
        <v>2</v>
      </c>
      <c r="E1" s="3" t="s">
        <v>10</v>
      </c>
      <c r="F1" s="5" t="s">
        <v>11</v>
      </c>
      <c r="G1" s="6" t="s">
        <v>3</v>
      </c>
      <c r="H1" s="6" t="s">
        <v>12</v>
      </c>
      <c r="I1" s="6" t="s">
        <v>1</v>
      </c>
      <c r="J1" s="5" t="s">
        <v>13</v>
      </c>
      <c r="K1" s="3" t="s">
        <v>14</v>
      </c>
      <c r="L1" s="3" t="s">
        <v>15</v>
      </c>
      <c r="M1" s="28" t="s">
        <v>17</v>
      </c>
    </row>
    <row r="2" spans="1:13" ht="11.25">
      <c r="A2" s="23" t="str">
        <f>IF(2012-D2&lt;18,"Yth",IF(2012-D2&lt;21,"Jun","Sen"))</f>
        <v>Jun</v>
      </c>
      <c r="B2" s="7">
        <f>VLOOKUP(F2,Women__weight_categories,2,TRUE)</f>
        <v>58</v>
      </c>
      <c r="C2" s="26" t="s">
        <v>60</v>
      </c>
      <c r="D2" s="64">
        <v>1992</v>
      </c>
      <c r="E2" s="65" t="s">
        <v>9</v>
      </c>
      <c r="F2" s="66">
        <v>57.95</v>
      </c>
      <c r="G2" s="64">
        <v>66</v>
      </c>
      <c r="H2" s="64">
        <v>71</v>
      </c>
      <c r="I2" s="64">
        <f>SUM(G2:H2)</f>
        <v>137</v>
      </c>
      <c r="J2" s="69">
        <f>I2*IF(F2&gt;125.441,1,10^(1.056683941*LOG(F2/125.441)^2))</f>
        <v>180.12765994918811</v>
      </c>
      <c r="K2" s="68">
        <v>40811</v>
      </c>
      <c r="L2" s="26" t="s">
        <v>73</v>
      </c>
      <c r="M2" s="8">
        <f>I2/VLOOKUP(B2,Standards!$J$3:$Q$11,4)</f>
        <v>0.9383561643835616</v>
      </c>
    </row>
    <row r="3" spans="1:13" ht="11.25">
      <c r="A3" s="23" t="str">
        <f>IF(2012-D3&lt;18,"Yth",IF(2012-D3&lt;21,"Jun","Sen"))</f>
        <v>Jun</v>
      </c>
      <c r="B3" s="7">
        <f>VLOOKUP(F3,Women__weight_categories,2,TRUE)</f>
        <v>58</v>
      </c>
      <c r="C3" s="26" t="s">
        <v>59</v>
      </c>
      <c r="D3" s="64">
        <v>1994</v>
      </c>
      <c r="E3" s="65" t="s">
        <v>52</v>
      </c>
      <c r="F3" s="66">
        <v>57.65</v>
      </c>
      <c r="G3" s="64">
        <v>52</v>
      </c>
      <c r="H3" s="64">
        <v>76</v>
      </c>
      <c r="I3" s="64">
        <f>SUM(G3:H3)</f>
        <v>128</v>
      </c>
      <c r="J3" s="69">
        <f>I3*IF(F3&gt;125.441,1,10^(1.056683941*LOG(F3/125.441)^2))</f>
        <v>168.91681806798437</v>
      </c>
      <c r="K3" s="68">
        <v>40811</v>
      </c>
      <c r="L3" s="26" t="s">
        <v>73</v>
      </c>
      <c r="M3" s="8">
        <f>I3/VLOOKUP(B3,Standards!$J$3:$Q$11,4)</f>
        <v>0.8767123287671232</v>
      </c>
    </row>
    <row r="4" spans="1:13" ht="11.25">
      <c r="A4" s="23" t="str">
        <f>IF(2012-D4&lt;18,"Yth",IF(2012-D4&lt;21,"Jun","Sen"))</f>
        <v>Yth</v>
      </c>
      <c r="B4" s="7" t="str">
        <f>VLOOKUP(F4,Women__weight_categories,2,TRUE)</f>
        <v>75+</v>
      </c>
      <c r="C4" s="26" t="s">
        <v>50</v>
      </c>
      <c r="D4" s="64">
        <v>1996</v>
      </c>
      <c r="E4" s="65" t="s">
        <v>46</v>
      </c>
      <c r="F4" s="66">
        <v>93.4</v>
      </c>
      <c r="G4" s="64">
        <v>58</v>
      </c>
      <c r="H4" s="64">
        <v>79</v>
      </c>
      <c r="I4" s="64">
        <f>SUM(G4:H4)</f>
        <v>137</v>
      </c>
      <c r="J4" s="69">
        <f>I4*IF(F4&gt;125.441,1,10^(1.056683941*LOG(F4/125.441)^2))</f>
        <v>142.57991244836123</v>
      </c>
      <c r="K4" s="68">
        <v>40811</v>
      </c>
      <c r="L4" s="26" t="s">
        <v>73</v>
      </c>
      <c r="M4" s="8">
        <f>I4/VLOOKUP(B4,Standards!$J$3:$Q$11,4)</f>
        <v>0.7486338797814208</v>
      </c>
    </row>
    <row r="5" spans="1:13" ht="11.25">
      <c r="A5" s="23" t="str">
        <f>IF(2012-D5&lt;18,"Yth",IF(2012-D5&lt;21,"Jun","Sen"))</f>
        <v>Yth</v>
      </c>
      <c r="B5" s="7">
        <f>VLOOKUP(F5,Women__weight_categories,2,TRUE)</f>
        <v>58</v>
      </c>
      <c r="C5" s="26" t="s">
        <v>58</v>
      </c>
      <c r="D5" s="64">
        <v>1997</v>
      </c>
      <c r="E5" s="65" t="s">
        <v>34</v>
      </c>
      <c r="F5" s="66">
        <v>56.4</v>
      </c>
      <c r="G5" s="64">
        <v>46</v>
      </c>
      <c r="H5" s="64">
        <v>61</v>
      </c>
      <c r="I5" s="64">
        <f>SUM(G5:H5)</f>
        <v>107</v>
      </c>
      <c r="J5" s="69">
        <f>I5*IF(F5&gt;125.441,1,10^(1.056683941*LOG(F5/125.441)^2))</f>
        <v>143.46160709896765</v>
      </c>
      <c r="K5" s="68">
        <v>40811</v>
      </c>
      <c r="L5" s="26" t="s">
        <v>73</v>
      </c>
      <c r="M5" s="8">
        <f>I5/VLOOKUP(B5,Standards!$J$3:$Q$11,4)</f>
        <v>0.7328767123287672</v>
      </c>
    </row>
    <row r="6" spans="1:13" ht="11.25">
      <c r="A6" s="23" t="str">
        <f>IF(2012-D6&lt;18,"Yth",IF(2012-D6&lt;21,"Jun","Sen"))</f>
        <v>Yth</v>
      </c>
      <c r="B6" s="7">
        <f>VLOOKUP(F6,Women__weight_categories,2,TRUE)</f>
        <v>69</v>
      </c>
      <c r="C6" s="26" t="s">
        <v>48</v>
      </c>
      <c r="D6" s="64">
        <v>1995</v>
      </c>
      <c r="E6" s="65" t="s">
        <v>46</v>
      </c>
      <c r="F6" s="66">
        <v>67.3</v>
      </c>
      <c r="G6" s="64">
        <v>51</v>
      </c>
      <c r="H6" s="64">
        <v>67</v>
      </c>
      <c r="I6" s="64">
        <f>SUM(G6:H6)</f>
        <v>118</v>
      </c>
      <c r="J6" s="69">
        <f>I6*IF(F6&gt;125.441,1,10^(1.056683941*LOG(F6/125.441)^2))</f>
        <v>140.97972148642435</v>
      </c>
      <c r="K6" s="68">
        <v>40811</v>
      </c>
      <c r="L6" s="26" t="s">
        <v>73</v>
      </c>
      <c r="M6" s="8">
        <f>I6/VLOOKUP(B6,Standards!$J$3:$Q$11,4)</f>
        <v>0.7151515151515152</v>
      </c>
    </row>
    <row r="7" spans="1:13" ht="11.25">
      <c r="A7" s="23" t="str">
        <f>IF(2012-D7&lt;18,"Yth",IF(2012-D7&lt;21,"Jun","Sen"))</f>
        <v>Jun</v>
      </c>
      <c r="B7" s="7">
        <f>VLOOKUP(F7,Women__weight_categories,2,TRUE)</f>
        <v>53</v>
      </c>
      <c r="C7" s="26" t="s">
        <v>42</v>
      </c>
      <c r="D7" s="64">
        <v>1994</v>
      </c>
      <c r="E7" s="65" t="s">
        <v>9</v>
      </c>
      <c r="F7" s="66">
        <v>51.7</v>
      </c>
      <c r="G7" s="64">
        <v>42</v>
      </c>
      <c r="H7" s="64">
        <v>58</v>
      </c>
      <c r="I7" s="64">
        <f>SUM(G7:H7)</f>
        <v>100</v>
      </c>
      <c r="J7" s="69">
        <f>I7*IF(F7&gt;125.441,1,10^(1.056683941*LOG(F7/125.441)^2))</f>
        <v>143.41198762289807</v>
      </c>
      <c r="K7" s="68">
        <v>40811</v>
      </c>
      <c r="L7" s="26" t="s">
        <v>73</v>
      </c>
      <c r="M7" s="8">
        <f>I7/VLOOKUP(B7,Standards!$J$3:$Q$11,4)</f>
        <v>0.7142857142857143</v>
      </c>
    </row>
    <row r="8" spans="1:13" ht="11.25">
      <c r="A8" s="23" t="str">
        <f>IF(2012-D8&lt;18,"Yth",IF(2012-D8&lt;21,"Jun","Sen"))</f>
        <v>Yth</v>
      </c>
      <c r="B8" s="7">
        <f>VLOOKUP(F8,Women__weight_categories,2,TRUE)</f>
        <v>63</v>
      </c>
      <c r="C8" s="26" t="s">
        <v>100</v>
      </c>
      <c r="D8" s="64">
        <v>1997</v>
      </c>
      <c r="E8" s="65" t="s">
        <v>30</v>
      </c>
      <c r="F8" s="66">
        <v>62</v>
      </c>
      <c r="G8" s="64">
        <v>44</v>
      </c>
      <c r="H8" s="64">
        <v>67</v>
      </c>
      <c r="I8" s="64">
        <f>SUM(G8:H8)</f>
        <v>111</v>
      </c>
      <c r="J8" s="69">
        <f>I8*IF(F8&gt;125.441,1,10^(1.056683941*LOG(F8/125.441)^2))</f>
        <v>139.4111668367301</v>
      </c>
      <c r="K8" s="68">
        <v>40809</v>
      </c>
      <c r="L8" s="26" t="s">
        <v>73</v>
      </c>
      <c r="M8" s="8">
        <f>I8/VLOOKUP(B8,Standards!$J$3:$Q$11,4)</f>
        <v>0.69375</v>
      </c>
    </row>
    <row r="9" spans="1:13" ht="11.25">
      <c r="A9" s="23" t="str">
        <f>IF(2012-D9&lt;18,"Yth",IF(2012-D9&lt;21,"Jun","Sen"))</f>
        <v>Yth</v>
      </c>
      <c r="B9" s="7">
        <f>VLOOKUP(F9,Women__weight_categories,2,TRUE)</f>
        <v>44</v>
      </c>
      <c r="C9" s="26" t="s">
        <v>57</v>
      </c>
      <c r="D9" s="64">
        <v>1995</v>
      </c>
      <c r="E9" s="65" t="s">
        <v>34</v>
      </c>
      <c r="F9" s="66">
        <v>42.55</v>
      </c>
      <c r="G9" s="64">
        <v>37</v>
      </c>
      <c r="H9" s="64">
        <v>46</v>
      </c>
      <c r="I9" s="64">
        <f>SUM(G9:H9)</f>
        <v>83</v>
      </c>
      <c r="J9" s="69">
        <f>I9*IF(F9&gt;125.441,1,10^(1.056683941*LOG(F9/125.441)^2))</f>
        <v>141.91974818991588</v>
      </c>
      <c r="K9" s="68">
        <v>40811</v>
      </c>
      <c r="L9" s="26" t="s">
        <v>73</v>
      </c>
      <c r="M9" s="8">
        <f>I9/VLOOKUP(B9,Standards!$J$3:$Q$11,4)</f>
        <v>0.6587301587301587</v>
      </c>
    </row>
    <row r="10" spans="1:13" ht="11.25">
      <c r="A10" s="23" t="str">
        <f>IF(2012-D10&lt;18,"Yth",IF(2012-D10&lt;21,"Jun","Sen"))</f>
        <v>Jun</v>
      </c>
      <c r="B10" s="7" t="str">
        <f>VLOOKUP(F10,Women__weight_categories,2,TRUE)</f>
        <v>75+</v>
      </c>
      <c r="C10" s="26" t="s">
        <v>103</v>
      </c>
      <c r="D10" s="64">
        <v>1994</v>
      </c>
      <c r="E10" s="65" t="s">
        <v>9</v>
      </c>
      <c r="F10" s="66">
        <v>76.9</v>
      </c>
      <c r="G10" s="64">
        <v>47</v>
      </c>
      <c r="H10" s="64">
        <v>65</v>
      </c>
      <c r="I10" s="64">
        <f>SUM(G10:H10)</f>
        <v>112</v>
      </c>
      <c r="J10" s="69">
        <f>I10*IF(F10&gt;125.441,1,10^(1.056683941*LOG(F10/125.441)^2))</f>
        <v>125.00857959545716</v>
      </c>
      <c r="K10" s="68">
        <v>40811</v>
      </c>
      <c r="L10" s="26" t="s">
        <v>73</v>
      </c>
      <c r="M10" s="8">
        <f>I10/VLOOKUP(B10,Standards!$J$3:$Q$11,4)</f>
        <v>0.6120218579234973</v>
      </c>
    </row>
    <row r="11" spans="1:13" ht="11.25">
      <c r="A11" s="23" t="str">
        <f>IF(2012-D11&lt;18,"Yth",IF(2012-D11&lt;21,"Jun","Sen"))</f>
        <v>Yth</v>
      </c>
      <c r="B11" s="7">
        <f>VLOOKUP(F11,Women__weight_categories,2,TRUE)</f>
        <v>53</v>
      </c>
      <c r="C11" s="26" t="s">
        <v>49</v>
      </c>
      <c r="D11" s="64">
        <v>1997</v>
      </c>
      <c r="E11" s="65" t="s">
        <v>46</v>
      </c>
      <c r="F11" s="66">
        <v>53</v>
      </c>
      <c r="G11" s="64">
        <v>36</v>
      </c>
      <c r="H11" s="64">
        <v>49</v>
      </c>
      <c r="I11" s="64">
        <f>SUM(G11:H11)</f>
        <v>85</v>
      </c>
      <c r="J11" s="69">
        <f>I11*IF(F11&gt;125.441,1,10^(1.056683941*LOG(F11/125.441)^2))</f>
        <v>119.49590322393125</v>
      </c>
      <c r="K11" s="68">
        <v>40811</v>
      </c>
      <c r="L11" s="26" t="s">
        <v>73</v>
      </c>
      <c r="M11" s="8">
        <f>I11/VLOOKUP(B11,Standards!$J$3:$Q$11,4)</f>
        <v>0.6071428571428571</v>
      </c>
    </row>
    <row r="12" spans="1:13" ht="11.25">
      <c r="A12" s="23"/>
      <c r="B12" s="7"/>
      <c r="C12" s="26"/>
      <c r="D12" s="64"/>
      <c r="E12" s="65"/>
      <c r="F12" s="66"/>
      <c r="G12" s="64"/>
      <c r="H12" s="64"/>
      <c r="I12" s="64"/>
      <c r="J12" s="69"/>
      <c r="K12" s="68"/>
      <c r="L12" s="26"/>
      <c r="M12" s="8"/>
    </row>
    <row r="13" spans="1:13" ht="11.25">
      <c r="A13" s="23"/>
      <c r="B13" s="7"/>
      <c r="C13" s="26"/>
      <c r="D13" s="64"/>
      <c r="E13" s="65"/>
      <c r="F13" s="66"/>
      <c r="G13" s="64"/>
      <c r="H13" s="64"/>
      <c r="I13" s="64"/>
      <c r="J13" s="69"/>
      <c r="K13" s="68"/>
      <c r="L13" s="26"/>
      <c r="M13" s="8"/>
    </row>
    <row r="14" spans="1:13" ht="11.25">
      <c r="A14" s="23"/>
      <c r="B14" s="7"/>
      <c r="C14" s="26"/>
      <c r="D14" s="64"/>
      <c r="E14" s="65"/>
      <c r="F14" s="66"/>
      <c r="G14" s="64"/>
      <c r="H14" s="64"/>
      <c r="I14" s="64"/>
      <c r="J14" s="69"/>
      <c r="K14" s="68"/>
      <c r="L14" s="26"/>
      <c r="M14" s="8"/>
    </row>
    <row r="15" spans="1:13" ht="11.25">
      <c r="A15" s="23"/>
      <c r="B15" s="7"/>
      <c r="C15" s="26"/>
      <c r="D15" s="64"/>
      <c r="E15" s="65"/>
      <c r="F15" s="66"/>
      <c r="G15" s="64"/>
      <c r="H15" s="64"/>
      <c r="I15" s="64"/>
      <c r="J15" s="69"/>
      <c r="K15" s="68"/>
      <c r="L15" s="26"/>
      <c r="M15" s="8"/>
    </row>
    <row r="16" spans="1:13" ht="11.25">
      <c r="A16" s="23"/>
      <c r="B16" s="7"/>
      <c r="C16" s="26"/>
      <c r="D16" s="64"/>
      <c r="E16" s="65"/>
      <c r="F16" s="66"/>
      <c r="G16" s="64"/>
      <c r="H16" s="64"/>
      <c r="I16" s="64"/>
      <c r="J16" s="69"/>
      <c r="K16" s="68"/>
      <c r="L16" s="26"/>
      <c r="M16" s="8"/>
    </row>
    <row r="17" spans="1:13" ht="11.25">
      <c r="A17" s="23"/>
      <c r="B17" s="7"/>
      <c r="C17" s="26"/>
      <c r="D17" s="64"/>
      <c r="E17" s="65"/>
      <c r="F17" s="66"/>
      <c r="G17" s="64"/>
      <c r="H17" s="64"/>
      <c r="I17" s="64"/>
      <c r="J17" s="69"/>
      <c r="K17" s="68"/>
      <c r="L17" s="26"/>
      <c r="M17" s="8"/>
    </row>
    <row r="18" spans="1:13" ht="11.25">
      <c r="A18" s="23"/>
      <c r="B18" s="7"/>
      <c r="C18" s="26"/>
      <c r="D18" s="64"/>
      <c r="E18" s="65"/>
      <c r="F18" s="66"/>
      <c r="G18" s="64"/>
      <c r="H18" s="64"/>
      <c r="I18" s="64"/>
      <c r="J18" s="69"/>
      <c r="K18" s="68"/>
      <c r="L18" s="26"/>
      <c r="M18" s="8"/>
    </row>
    <row r="19" spans="1:13" ht="11.25">
      <c r="A19" s="23"/>
      <c r="B19" s="7"/>
      <c r="C19" s="26"/>
      <c r="D19" s="64"/>
      <c r="E19" s="65"/>
      <c r="F19" s="66"/>
      <c r="G19" s="64"/>
      <c r="H19" s="64"/>
      <c r="I19" s="64"/>
      <c r="J19" s="69"/>
      <c r="K19" s="68"/>
      <c r="L19" s="26"/>
      <c r="M19" s="8"/>
    </row>
    <row r="20" spans="1:13" ht="11.25">
      <c r="A20" s="23"/>
      <c r="B20" s="7"/>
      <c r="C20" s="60"/>
      <c r="D20" s="61"/>
      <c r="E20" s="61"/>
      <c r="F20" s="61"/>
      <c r="G20" s="61"/>
      <c r="H20" s="61"/>
      <c r="I20" s="42"/>
      <c r="J20" s="45"/>
      <c r="K20" s="32"/>
      <c r="L20" s="33"/>
      <c r="M20" s="8"/>
    </row>
    <row r="21" spans="1:13" ht="11.25">
      <c r="A21" s="23"/>
      <c r="B21" s="7"/>
      <c r="C21" s="60"/>
      <c r="D21" s="61"/>
      <c r="E21" s="61"/>
      <c r="F21" s="61"/>
      <c r="G21" s="61"/>
      <c r="H21" s="61"/>
      <c r="I21" s="42"/>
      <c r="J21" s="45"/>
      <c r="K21" s="32"/>
      <c r="L21" s="33"/>
      <c r="M21" s="8"/>
    </row>
    <row r="22" spans="1:13" ht="11.25">
      <c r="A22" s="23"/>
      <c r="B22" s="7"/>
      <c r="C22" s="33"/>
      <c r="D22" s="42"/>
      <c r="E22" s="30"/>
      <c r="F22" s="46"/>
      <c r="G22" s="42"/>
      <c r="H22" s="42"/>
      <c r="I22" s="42"/>
      <c r="J22" s="45"/>
      <c r="K22" s="44"/>
      <c r="L22" s="33"/>
      <c r="M22" s="8"/>
    </row>
    <row r="23" spans="1:13" ht="11.25">
      <c r="A23" s="23"/>
      <c r="B23" s="7"/>
      <c r="C23" s="60"/>
      <c r="D23" s="61"/>
      <c r="E23" s="61"/>
      <c r="F23" s="61"/>
      <c r="G23" s="61"/>
      <c r="H23" s="61"/>
      <c r="I23" s="42"/>
      <c r="J23" s="45"/>
      <c r="K23" s="32"/>
      <c r="L23" s="33"/>
      <c r="M23" s="8"/>
    </row>
    <row r="24" spans="1:13" ht="11.25">
      <c r="A24" s="23"/>
      <c r="B24" s="7"/>
      <c r="C24" s="33"/>
      <c r="D24" s="42"/>
      <c r="E24" s="30"/>
      <c r="F24" s="46"/>
      <c r="G24" s="42"/>
      <c r="H24" s="42"/>
      <c r="I24" s="42"/>
      <c r="J24" s="45"/>
      <c r="K24" s="44"/>
      <c r="L24" s="33"/>
      <c r="M24" s="8"/>
    </row>
    <row r="25" spans="1:13" ht="11.25">
      <c r="A25" s="23"/>
      <c r="B25" s="7"/>
      <c r="C25" s="60"/>
      <c r="D25" s="61"/>
      <c r="E25" s="61"/>
      <c r="F25" s="61"/>
      <c r="G25" s="61"/>
      <c r="H25" s="61"/>
      <c r="I25" s="42"/>
      <c r="J25" s="45"/>
      <c r="K25" s="32"/>
      <c r="L25" s="33"/>
      <c r="M25" s="8"/>
    </row>
    <row r="26" spans="1:13" ht="11.25">
      <c r="A26" s="23"/>
      <c r="B26" s="7"/>
      <c r="C26" s="60"/>
      <c r="D26" s="61"/>
      <c r="E26" s="61"/>
      <c r="F26" s="61"/>
      <c r="G26" s="61"/>
      <c r="H26" s="61"/>
      <c r="I26" s="42"/>
      <c r="J26" s="45"/>
      <c r="K26" s="32"/>
      <c r="L26" s="33"/>
      <c r="M26" s="8"/>
    </row>
    <row r="27" spans="1:13" ht="11.25">
      <c r="A27" s="23"/>
      <c r="B27" s="7"/>
      <c r="C27" s="60"/>
      <c r="D27" s="61"/>
      <c r="E27" s="61"/>
      <c r="F27" s="61"/>
      <c r="G27" s="61"/>
      <c r="H27" s="61"/>
      <c r="I27" s="42"/>
      <c r="J27" s="45"/>
      <c r="K27" s="32"/>
      <c r="L27" s="33"/>
      <c r="M27" s="8"/>
    </row>
    <row r="28" spans="1:13" ht="11.25">
      <c r="A28" s="23"/>
      <c r="B28" s="7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8"/>
    </row>
    <row r="29" spans="1:13" ht="11.25">
      <c r="A29" s="23"/>
      <c r="B29" s="7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8"/>
    </row>
    <row r="30" spans="1:13" ht="11.25">
      <c r="A30" s="23"/>
      <c r="B30" s="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8"/>
    </row>
    <row r="31" spans="1:13" ht="11.25">
      <c r="A31" s="23"/>
      <c r="B31" s="7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8"/>
    </row>
    <row r="32" spans="1:13" ht="11.25">
      <c r="A32" s="23"/>
      <c r="B32" s="7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8"/>
    </row>
    <row r="33" spans="1:13" ht="11.25">
      <c r="A33" s="23"/>
      <c r="B33" s="7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8"/>
    </row>
    <row r="34" spans="1:13" ht="11.25">
      <c r="A34" s="23"/>
      <c r="B34" s="7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8"/>
    </row>
    <row r="35" spans="1:13" ht="11.25">
      <c r="A35" s="23"/>
      <c r="B35" s="7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8"/>
    </row>
    <row r="36" spans="1:13" ht="11.25">
      <c r="A36" s="23"/>
      <c r="B36" s="7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"/>
    </row>
    <row r="37" spans="1:13" ht="11.25">
      <c r="A37" s="23"/>
      <c r="B37" s="7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8"/>
    </row>
    <row r="38" spans="1:13" ht="11.25">
      <c r="A38" s="23"/>
      <c r="B38" s="7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8"/>
    </row>
    <row r="39" spans="1:13" ht="11.25">
      <c r="A39" s="23"/>
      <c r="B39" s="7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8"/>
    </row>
    <row r="40" spans="1:13" ht="11.25">
      <c r="A40" s="23"/>
      <c r="B40" s="7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8"/>
    </row>
    <row r="41" spans="1:13" ht="11.25">
      <c r="A41" s="23"/>
      <c r="B41" s="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"/>
    </row>
    <row r="42" spans="1:13" ht="11.25">
      <c r="A42" s="23"/>
      <c r="B42" s="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"/>
    </row>
    <row r="43" spans="1:13" ht="11.25">
      <c r="A43" s="23"/>
      <c r="B43" s="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8"/>
    </row>
    <row r="44" spans="1:13" ht="11.25">
      <c r="A44" s="23"/>
      <c r="B44" s="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</row>
    <row r="45" spans="1:13" ht="11.25">
      <c r="A45" s="23"/>
      <c r="B45" s="7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8"/>
    </row>
    <row r="46" spans="3:12" ht="11.25"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3:12" ht="11.25"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3:12" ht="11.25"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3:12" ht="11.25"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3:12" ht="11.25"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3:12" ht="11.25"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3:12" ht="11.25"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3:12" ht="11.25"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3:12" ht="11.25"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3:12" ht="11.25"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3:12" ht="11.25"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3:12" ht="11.25"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3:12" ht="11.25"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3:12" ht="11.25"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3:12" ht="11.25"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3:12" ht="11.25"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3:12" ht="11.25"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3:12" ht="11.25"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3:12" ht="11.25"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3:12" ht="11.25"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3:12" ht="11.25"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3:12" ht="11.25"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3:12" ht="11.25">
      <c r="C68" s="33"/>
      <c r="D68" s="33"/>
      <c r="E68" s="33"/>
      <c r="F68" s="33"/>
      <c r="G68" s="33"/>
      <c r="H68" s="33"/>
      <c r="I68" s="33"/>
      <c r="J68" s="33"/>
      <c r="K68" s="33"/>
      <c r="L68" s="33"/>
    </row>
  </sheetData>
  <sheetProtection/>
  <conditionalFormatting sqref="A2:A45">
    <cfRule type="containsText" priority="9" dxfId="1" operator="containsText" text="Yth">
      <formula>NOT(ISERROR(SEARCH("Yth",A2)))</formula>
    </cfRule>
    <cfRule type="containsText" priority="10" dxfId="0" operator="containsText" text="Jun">
      <formula>NOT(ISERROR(SEARCH("Jun",A2)))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selection activeCell="Q2" sqref="Q2"/>
    </sheetView>
  </sheetViews>
  <sheetFormatPr defaultColWidth="9.140625" defaultRowHeight="12.75"/>
  <cols>
    <col min="1" max="1" width="4.8515625" style="24" bestFit="1" customWidth="1"/>
    <col min="2" max="2" width="4.421875" style="24" bestFit="1" customWidth="1"/>
    <col min="3" max="3" width="14.28125" style="24" bestFit="1" customWidth="1"/>
    <col min="4" max="4" width="5.00390625" style="24" bestFit="1" customWidth="1"/>
    <col min="5" max="5" width="4.57421875" style="24" bestFit="1" customWidth="1"/>
    <col min="6" max="6" width="6.57421875" style="56" bestFit="1" customWidth="1"/>
    <col min="7" max="7" width="5.8515625" style="47" bestFit="1" customWidth="1"/>
    <col min="8" max="8" width="5.57421875" style="47" bestFit="1" customWidth="1"/>
    <col min="9" max="9" width="4.28125" style="47" bestFit="1" customWidth="1"/>
    <col min="10" max="10" width="6.57421875" style="56" bestFit="1" customWidth="1"/>
    <col min="11" max="11" width="8.7109375" style="24" bestFit="1" customWidth="1"/>
    <col min="12" max="12" width="41.8515625" style="24" bestFit="1" customWidth="1"/>
    <col min="13" max="13" width="9.28125" style="24" bestFit="1" customWidth="1"/>
    <col min="14" max="15" width="7.140625" style="47" bestFit="1" customWidth="1"/>
    <col min="16" max="16" width="12.57421875" style="24" bestFit="1" customWidth="1"/>
    <col min="17" max="16384" width="9.140625" style="24" customWidth="1"/>
  </cols>
  <sheetData>
    <row r="1" spans="1:16" s="3" customFormat="1" ht="11.25">
      <c r="A1" s="28" t="s">
        <v>4</v>
      </c>
      <c r="B1" s="28" t="s">
        <v>22</v>
      </c>
      <c r="C1" s="3" t="s">
        <v>0</v>
      </c>
      <c r="D1" s="4" t="s">
        <v>2</v>
      </c>
      <c r="E1" s="3" t="s">
        <v>10</v>
      </c>
      <c r="F1" s="55" t="s">
        <v>11</v>
      </c>
      <c r="G1" s="58" t="s">
        <v>3</v>
      </c>
      <c r="H1" s="58" t="s">
        <v>12</v>
      </c>
      <c r="I1" s="58" t="s">
        <v>1</v>
      </c>
      <c r="J1" s="55" t="s">
        <v>13</v>
      </c>
      <c r="K1" s="3" t="s">
        <v>14</v>
      </c>
      <c r="L1" s="3" t="s">
        <v>15</v>
      </c>
      <c r="M1" s="28" t="s">
        <v>28</v>
      </c>
      <c r="N1" s="7" t="s">
        <v>18</v>
      </c>
      <c r="O1" s="7" t="s">
        <v>20</v>
      </c>
      <c r="P1" s="28" t="s">
        <v>25</v>
      </c>
    </row>
    <row r="2" spans="1:16" s="3" customFormat="1" ht="11.25">
      <c r="A2" s="23" t="str">
        <f>IF(2012-D2&lt;18,"Yth",IF(2012-D2&lt;21,"Jun","Sen"))</f>
        <v>Sen</v>
      </c>
      <c r="B2" s="7">
        <f>VLOOKUP(F2,Men__weight_categories,2,TRUE)</f>
        <v>94</v>
      </c>
      <c r="C2" s="26" t="s">
        <v>33</v>
      </c>
      <c r="D2" s="64">
        <v>1991</v>
      </c>
      <c r="E2" s="65" t="s">
        <v>34</v>
      </c>
      <c r="F2" s="66">
        <v>93.95</v>
      </c>
      <c r="G2" s="64">
        <v>135</v>
      </c>
      <c r="H2" s="64">
        <v>165</v>
      </c>
      <c r="I2" s="64">
        <f>SUM(G2:H2)</f>
        <v>300</v>
      </c>
      <c r="J2" s="66">
        <f>I2*IF(F2&gt;173.961,1,10^(0.784780654*LOG(F2/173.961)^2))</f>
        <v>341.4289610899494</v>
      </c>
      <c r="K2" s="68">
        <v>40810</v>
      </c>
      <c r="L2" s="26" t="s">
        <v>73</v>
      </c>
      <c r="M2" s="8">
        <f>I2/VLOOKUP(B2,Standards!$A$3:$H$12,3)</f>
        <v>0.9868421052631579</v>
      </c>
      <c r="N2" s="27" t="str">
        <f>IF(D2&gt;=1992,I2/VLOOKUP(B2,Standards!$A$3:$H$12,5),"---")</f>
        <v>---</v>
      </c>
      <c r="O2" s="27" t="str">
        <f>IF(D2&gt;=1995,I2/VLOOKUP(B2,Standards!$A$3:$H$12,7),"---")</f>
        <v>---</v>
      </c>
      <c r="P2" s="25" t="str">
        <f>IF((D2&gt;=1995)*AND(F2&gt;94),(I2/Standards!$G$12),"---")</f>
        <v>---</v>
      </c>
    </row>
    <row r="3" spans="1:16" s="3" customFormat="1" ht="11.25">
      <c r="A3" s="23" t="str">
        <f>IF(2012-D3&lt;18,"Yth",IF(2012-D3&lt;21,"Jun","Sen"))</f>
        <v>Sen</v>
      </c>
      <c r="B3" s="7">
        <f>VLOOKUP(F3,Men__weight_categories,2,TRUE)</f>
        <v>77</v>
      </c>
      <c r="C3" s="26" t="s">
        <v>31</v>
      </c>
      <c r="D3" s="64">
        <v>1991</v>
      </c>
      <c r="E3" s="65" t="s">
        <v>30</v>
      </c>
      <c r="F3" s="66">
        <v>76.25</v>
      </c>
      <c r="G3" s="64">
        <v>120</v>
      </c>
      <c r="H3" s="64">
        <v>137</v>
      </c>
      <c r="I3" s="64">
        <f>SUM(G3:H3)</f>
        <v>257</v>
      </c>
      <c r="J3" s="66">
        <f>I3*IF(F3&gt;173.961,1,10^(0.784780654*LOG(F3/173.961)^2))</f>
        <v>324.06560293312475</v>
      </c>
      <c r="K3" s="68">
        <v>40810</v>
      </c>
      <c r="L3" s="26" t="s">
        <v>73</v>
      </c>
      <c r="M3" s="8">
        <f>I3/VLOOKUP(B3,Standards!$A$3:$H$12,3)</f>
        <v>0.9345454545454546</v>
      </c>
      <c r="N3" s="27" t="str">
        <f>IF(D3&gt;=1992,I3/VLOOKUP(B3,Standards!$A$3:$H$12,5),"---")</f>
        <v>---</v>
      </c>
      <c r="O3" s="27" t="str">
        <f>IF(D3&gt;=1995,I3/VLOOKUP(B3,Standards!$A$3:$H$12,7),"---")</f>
        <v>---</v>
      </c>
      <c r="P3" s="25" t="str">
        <f>IF((D3&gt;=1995)*AND(F3&gt;94),(I3/Standards!$G$12),"---")</f>
        <v>---</v>
      </c>
    </row>
    <row r="4" spans="1:16" s="3" customFormat="1" ht="11.25">
      <c r="A4" s="23" t="str">
        <f>IF(2012-D4&lt;18,"Yth",IF(2012-D4&lt;21,"Jun","Sen"))</f>
        <v>Sen</v>
      </c>
      <c r="B4" s="7">
        <f>VLOOKUP(F4,Men__weight_categories,2,TRUE)</f>
        <v>105</v>
      </c>
      <c r="C4" s="26" t="s">
        <v>89</v>
      </c>
      <c r="D4" s="64">
        <v>1991</v>
      </c>
      <c r="E4" s="65" t="s">
        <v>9</v>
      </c>
      <c r="F4" s="66">
        <v>104.8</v>
      </c>
      <c r="G4" s="64">
        <v>123</v>
      </c>
      <c r="H4" s="64">
        <v>155</v>
      </c>
      <c r="I4" s="64">
        <f>SUM(G4:H4)</f>
        <v>278</v>
      </c>
      <c r="J4" s="69">
        <f>I4*IF(F4&gt;173.961,1,10^(0.784780654*LOG(F4/173.961)^2))</f>
        <v>303.43066923184665</v>
      </c>
      <c r="K4" s="68">
        <v>40810</v>
      </c>
      <c r="L4" s="26" t="s">
        <v>73</v>
      </c>
      <c r="M4" s="8">
        <f>I4/VLOOKUP(B4,Standards!$A$3:$H$12,3)</f>
        <v>0.8996763754045307</v>
      </c>
      <c r="N4" s="27" t="str">
        <f>IF(D4&gt;=1992,I4/VLOOKUP(B4,Standards!$A$3:$H$12,5),"---")</f>
        <v>---</v>
      </c>
      <c r="O4" s="27" t="str">
        <f>IF(D4&gt;=1995,I4/VLOOKUP(B4,Standards!$A$3:$H$12,7),"---")</f>
        <v>---</v>
      </c>
      <c r="P4" s="25" t="str">
        <f>IF((D4&gt;=1995)*AND(F4&gt;94),(I4/Standards!$G$12),"---")</f>
        <v>---</v>
      </c>
    </row>
    <row r="5" spans="1:16" s="3" customFormat="1" ht="11.25">
      <c r="A5" s="23" t="str">
        <f>IF(2012-D5&lt;18,"Yth",IF(2012-D5&lt;21,"Jun","Sen"))</f>
        <v>Sen</v>
      </c>
      <c r="B5" s="7">
        <f>VLOOKUP(F5,Men__weight_categories,2,TRUE)</f>
        <v>56</v>
      </c>
      <c r="C5" s="26" t="s">
        <v>51</v>
      </c>
      <c r="D5" s="64">
        <v>1991</v>
      </c>
      <c r="E5" s="65" t="s">
        <v>9</v>
      </c>
      <c r="F5" s="66">
        <v>55.95</v>
      </c>
      <c r="G5" s="64">
        <v>78</v>
      </c>
      <c r="H5" s="64">
        <v>104</v>
      </c>
      <c r="I5" s="64">
        <f>SUM(G5:H5)</f>
        <v>182</v>
      </c>
      <c r="J5" s="70">
        <f>I5*IF(F5&gt;173.961,1,10^(0.784780654*LOG(F5/173.961)^2))</f>
        <v>282.1903803575576</v>
      </c>
      <c r="K5" s="68">
        <v>40810</v>
      </c>
      <c r="L5" s="26" t="s">
        <v>73</v>
      </c>
      <c r="M5" s="8">
        <f>I5/VLOOKUP(B5,Standards!$A$3:$H$12,3)</f>
        <v>0.8878048780487805</v>
      </c>
      <c r="N5" s="27" t="str">
        <f>IF(D5&gt;=1992,I5/VLOOKUP(B5,Standards!$A$3:$H$12,5),"---")</f>
        <v>---</v>
      </c>
      <c r="O5" s="27" t="str">
        <f>IF(D5&gt;=1995,I5/VLOOKUP(B5,Standards!$A$3:$H$12,7),"---")</f>
        <v>---</v>
      </c>
      <c r="P5" s="25" t="str">
        <f>IF((D5&gt;=1995)*AND(F5&gt;94),(I5/Standards!$G$12),"---")</f>
        <v>---</v>
      </c>
    </row>
    <row r="6" spans="1:16" s="3" customFormat="1" ht="11.25">
      <c r="A6" s="23" t="str">
        <f>IF(2012-D6&lt;18,"Yth",IF(2012-D6&lt;21,"Jun","Sen"))</f>
        <v>Jun</v>
      </c>
      <c r="B6" s="7">
        <f>VLOOKUP(F6,Men__weight_categories,2,TRUE)</f>
        <v>69</v>
      </c>
      <c r="C6" s="26" t="s">
        <v>45</v>
      </c>
      <c r="D6" s="64">
        <v>1993</v>
      </c>
      <c r="E6" s="65" t="s">
        <v>46</v>
      </c>
      <c r="F6" s="66">
        <v>69</v>
      </c>
      <c r="G6" s="64">
        <v>94</v>
      </c>
      <c r="H6" s="64">
        <v>118</v>
      </c>
      <c r="I6" s="64">
        <f>SUM(G6:H6)</f>
        <v>212</v>
      </c>
      <c r="J6" s="66">
        <f>I6*IF(F6&gt;173.961,1,10^(0.784780654*LOG(F6/173.961)^2))</f>
        <v>283.73248504085996</v>
      </c>
      <c r="K6" s="68">
        <v>40810</v>
      </c>
      <c r="L6" s="26" t="s">
        <v>73</v>
      </c>
      <c r="M6" s="8">
        <f>I6/VLOOKUP(B6,Standards!$A$3:$H$12,3)</f>
        <v>0.8617886178861789</v>
      </c>
      <c r="N6" s="27">
        <f>IF(D6&gt;=1992,I6/VLOOKUP(B6,Standards!$A$3:$H$12,5),"---")</f>
        <v>1.0341463414634147</v>
      </c>
      <c r="O6" s="27" t="str">
        <f>IF(D6&gt;=1995,I6/VLOOKUP(B6,Standards!$A$3:$H$12,7),"---")</f>
        <v>---</v>
      </c>
      <c r="P6" s="25" t="str">
        <f>IF((D6&gt;=1995)*AND(F6&gt;94),(I6/Standards!$G$12),"---")</f>
        <v>---</v>
      </c>
    </row>
    <row r="7" spans="1:16" s="3" customFormat="1" ht="11.25">
      <c r="A7" s="23" t="str">
        <f>IF(2012-D7&lt;18,"Yth",IF(2012-D7&lt;21,"Jun","Sen"))</f>
        <v>Sen</v>
      </c>
      <c r="B7" s="7">
        <f>VLOOKUP(F7,Men__weight_categories,2,TRUE)</f>
        <v>62</v>
      </c>
      <c r="C7" s="26" t="s">
        <v>29</v>
      </c>
      <c r="D7" s="64">
        <v>1991</v>
      </c>
      <c r="E7" s="65" t="s">
        <v>9</v>
      </c>
      <c r="F7" s="66">
        <v>61.3</v>
      </c>
      <c r="G7" s="64">
        <v>88</v>
      </c>
      <c r="H7" s="64">
        <v>110</v>
      </c>
      <c r="I7" s="64">
        <f>SUM(G7:H7)</f>
        <v>198</v>
      </c>
      <c r="J7" s="66">
        <f>I7*IF(F7&gt;173.961,1,10^(0.784780654*LOG(F7/173.961)^2))</f>
        <v>286.88189685534246</v>
      </c>
      <c r="K7" s="68">
        <v>40810</v>
      </c>
      <c r="L7" s="26" t="s">
        <v>73</v>
      </c>
      <c r="M7" s="8">
        <f>I7/VLOOKUP(B7,Standards!$A$3:$H$12,3)</f>
        <v>0.853448275862069</v>
      </c>
      <c r="N7" s="27" t="str">
        <f>IF(D7&gt;=1992,I7/VLOOKUP(B7,Standards!$A$3:$H$12,5),"---")</f>
        <v>---</v>
      </c>
      <c r="O7" s="27" t="str">
        <f>IF(D7&gt;=1995,I7/VLOOKUP(B7,Standards!$A$3:$H$12,7),"---")</f>
        <v>---</v>
      </c>
      <c r="P7" s="25" t="str">
        <f>IF((D7&gt;=1995)*AND(F7&gt;94),(I7/Standards!$G$12),"---")</f>
        <v>---</v>
      </c>
    </row>
    <row r="8" spans="1:16" s="3" customFormat="1" ht="11.25">
      <c r="A8" s="23" t="str">
        <f>IF(2012-D8&lt;18,"Yth",IF(2012-D8&lt;21,"Jun","Sen"))</f>
        <v>Sen</v>
      </c>
      <c r="B8" s="7">
        <f>VLOOKUP(F8,Men__weight_categories,2,TRUE)</f>
        <v>69</v>
      </c>
      <c r="C8" s="26" t="s">
        <v>64</v>
      </c>
      <c r="D8" s="64">
        <v>1991</v>
      </c>
      <c r="E8" s="65" t="s">
        <v>32</v>
      </c>
      <c r="F8" s="66">
        <v>67.75</v>
      </c>
      <c r="G8" s="64">
        <v>92</v>
      </c>
      <c r="H8" s="64">
        <v>117</v>
      </c>
      <c r="I8" s="64">
        <f>SUM(G8:H8)</f>
        <v>209</v>
      </c>
      <c r="J8" s="66">
        <f>I8*IF(F8&gt;173.961,1,10^(0.784780654*LOG(F8/173.961)^2))</f>
        <v>282.9917204927793</v>
      </c>
      <c r="K8" s="68">
        <v>40810</v>
      </c>
      <c r="L8" s="26" t="s">
        <v>73</v>
      </c>
      <c r="M8" s="8">
        <f>I8/VLOOKUP(B8,Standards!$A$3:$H$12,3)</f>
        <v>0.8495934959349594</v>
      </c>
      <c r="N8" s="27" t="str">
        <f>IF(D8&gt;=1992,I8/VLOOKUP(B8,Standards!$A$3:$H$12,5),"---")</f>
        <v>---</v>
      </c>
      <c r="O8" s="27" t="str">
        <f>IF(D8&gt;=1995,I8/VLOOKUP(B8,Standards!$A$3:$H$12,7),"---")</f>
        <v>---</v>
      </c>
      <c r="P8" s="25" t="str">
        <f>IF((D8&gt;=1995)*AND(F8&gt;94),(I8/Standards!$G$12),"---")</f>
        <v>---</v>
      </c>
    </row>
    <row r="9" spans="1:16" s="3" customFormat="1" ht="11.25">
      <c r="A9" s="23" t="str">
        <f>IF(2012-D9&lt;18,"Yth",IF(2012-D9&lt;21,"Jun","Sen"))</f>
        <v>Sen</v>
      </c>
      <c r="B9" s="7">
        <f>VLOOKUP(F9,Men__weight_categories,2,TRUE)</f>
        <v>69</v>
      </c>
      <c r="C9" s="26" t="s">
        <v>54</v>
      </c>
      <c r="D9" s="64">
        <v>1991</v>
      </c>
      <c r="E9" s="65" t="s">
        <v>30</v>
      </c>
      <c r="F9" s="66">
        <v>68.65</v>
      </c>
      <c r="G9" s="64">
        <v>94</v>
      </c>
      <c r="H9" s="64">
        <v>110</v>
      </c>
      <c r="I9" s="64">
        <f>SUM(G9:H9)</f>
        <v>204</v>
      </c>
      <c r="J9" s="66">
        <f>I9*IF(F9&gt;173.961,1,10^(0.784780654*LOG(F9/173.961)^2))</f>
        <v>273.90460482722386</v>
      </c>
      <c r="K9" s="68">
        <v>40810</v>
      </c>
      <c r="L9" s="26" t="s">
        <v>73</v>
      </c>
      <c r="M9" s="8">
        <f>I9/VLOOKUP(B9,Standards!$A$3:$H$12,3)</f>
        <v>0.8292682926829268</v>
      </c>
      <c r="N9" s="27" t="str">
        <f>IF(D9&gt;=1992,I9/VLOOKUP(B9,Standards!$A$3:$H$12,5),"---")</f>
        <v>---</v>
      </c>
      <c r="O9" s="27" t="str">
        <f>IF(D9&gt;=1995,I9/VLOOKUP(B9,Standards!$A$3:$H$12,7),"---")</f>
        <v>---</v>
      </c>
      <c r="P9" s="25" t="str">
        <f>IF((D9&gt;=1995)*AND(F9&gt;94),(I9/Standards!$G$12),"---")</f>
        <v>---</v>
      </c>
    </row>
    <row r="10" spans="1:16" s="3" customFormat="1" ht="11.25">
      <c r="A10" s="23" t="str">
        <f>IF(2012-D10&lt;18,"Yth",IF(2012-D10&lt;21,"Jun","Sen"))</f>
        <v>Jun</v>
      </c>
      <c r="B10" s="7">
        <f>VLOOKUP(F10,Men__weight_categories,2,TRUE)</f>
        <v>85</v>
      </c>
      <c r="C10" s="26" t="s">
        <v>56</v>
      </c>
      <c r="D10" s="64">
        <v>1992</v>
      </c>
      <c r="E10" s="65" t="s">
        <v>30</v>
      </c>
      <c r="F10" s="66">
        <v>83.8</v>
      </c>
      <c r="G10" s="64">
        <v>105</v>
      </c>
      <c r="H10" s="64">
        <v>130</v>
      </c>
      <c r="I10" s="64">
        <f>SUM(G10:H10)</f>
        <v>235</v>
      </c>
      <c r="J10" s="71">
        <f>I10*IF(F10&gt;173.961,1,10^(0.784780654*LOG(F10/173.961)^2))</f>
        <v>281.859805989303</v>
      </c>
      <c r="K10" s="68">
        <v>40810</v>
      </c>
      <c r="L10" s="26" t="s">
        <v>73</v>
      </c>
      <c r="M10" s="8">
        <f>I10/VLOOKUP(B10,Standards!$A$3:$H$12,3)</f>
        <v>0.818815331010453</v>
      </c>
      <c r="N10" s="27">
        <f>IF(D10&gt;=1992,I10/VLOOKUP(B10,Standards!$A$3:$H$12,5),"---")</f>
        <v>0.9832635983263598</v>
      </c>
      <c r="O10" s="27" t="str">
        <f>IF(D10&gt;=1995,I10/VLOOKUP(B10,Standards!$A$3:$H$12,7),"---")</f>
        <v>---</v>
      </c>
      <c r="P10" s="25" t="str">
        <f>IF((D10&gt;=1995)*AND(F10&gt;94),(I10/Standards!$G$12),"---")</f>
        <v>---</v>
      </c>
    </row>
    <row r="11" spans="1:17" s="3" customFormat="1" ht="11.25">
      <c r="A11" s="23" t="str">
        <f>IF(2012-D11&lt;18,"Yth",IF(2012-D11&lt;21,"Jun","Sen"))</f>
        <v>Jun</v>
      </c>
      <c r="B11" s="7">
        <f>VLOOKUP(F11,Men__weight_categories,2,TRUE)</f>
        <v>77</v>
      </c>
      <c r="C11" s="26" t="s">
        <v>55</v>
      </c>
      <c r="D11" s="64">
        <v>1993</v>
      </c>
      <c r="E11" s="65" t="s">
        <v>30</v>
      </c>
      <c r="F11" s="66">
        <v>76.5</v>
      </c>
      <c r="G11" s="64">
        <v>102</v>
      </c>
      <c r="H11" s="64">
        <v>122</v>
      </c>
      <c r="I11" s="64">
        <f>SUM(G11:H11)</f>
        <v>224</v>
      </c>
      <c r="J11" s="66">
        <f>I11*IF(F11&gt;173.961,1,10^(0.784780654*LOG(F11/173.961)^2))</f>
        <v>281.9357510102171</v>
      </c>
      <c r="K11" s="68">
        <v>40810</v>
      </c>
      <c r="L11" s="26" t="s">
        <v>73</v>
      </c>
      <c r="M11" s="8">
        <f>I11/VLOOKUP(B11,Standards!$A$3:$H$12,3)</f>
        <v>0.8145454545454546</v>
      </c>
      <c r="N11" s="27">
        <f>IF(D11&gt;=1992,I11/VLOOKUP(B11,Standards!$A$3:$H$12,5),"---")</f>
        <v>0.9781659388646288</v>
      </c>
      <c r="O11" s="27" t="str">
        <f>IF(D11&gt;=1995,I11/VLOOKUP(B11,Standards!$A$3:$H$12,7),"---")</f>
        <v>---</v>
      </c>
      <c r="P11" s="25" t="str">
        <f>IF((D11&gt;=1995)*AND(F11&gt;94),(I11/Standards!$G$12),"---")</f>
        <v>---</v>
      </c>
      <c r="Q11" s="25"/>
    </row>
    <row r="12" spans="1:17" s="3" customFormat="1" ht="11.25">
      <c r="A12" s="23" t="str">
        <f>IF(2012-D12&lt;18,"Yth",IF(2012-D12&lt;21,"Jun","Sen"))</f>
        <v>Jun</v>
      </c>
      <c r="B12" s="7">
        <f>VLOOKUP(F12,Men__weight_categories,2,TRUE)</f>
        <v>85</v>
      </c>
      <c r="C12" s="26" t="s">
        <v>84</v>
      </c>
      <c r="D12" s="64">
        <v>1992</v>
      </c>
      <c r="E12" s="65" t="s">
        <v>32</v>
      </c>
      <c r="F12" s="66">
        <v>83.8</v>
      </c>
      <c r="G12" s="64">
        <v>95</v>
      </c>
      <c r="H12" s="64">
        <v>113</v>
      </c>
      <c r="I12" s="64">
        <f>SUM(G12:H12)</f>
        <v>208</v>
      </c>
      <c r="J12" s="71">
        <f>I12*IF(F12&gt;173.961,1,10^(0.784780654*LOG(F12/173.961)^2))</f>
        <v>249.47591338627674</v>
      </c>
      <c r="K12" s="68">
        <v>40810</v>
      </c>
      <c r="L12" s="26" t="s">
        <v>73</v>
      </c>
      <c r="M12" s="8">
        <f>I12/VLOOKUP(B12,Standards!$A$3:$H$12,3)</f>
        <v>0.7247386759581882</v>
      </c>
      <c r="N12" s="27">
        <f>IF(D12&gt;=1992,I12/VLOOKUP(B12,Standards!$A$3:$H$12,5),"---")</f>
        <v>0.8702928870292888</v>
      </c>
      <c r="O12" s="27" t="str">
        <f>IF(D12&gt;=1995,I12/VLOOKUP(B12,Standards!$A$3:$H$12,7),"---")</f>
        <v>---</v>
      </c>
      <c r="P12" s="25" t="str">
        <f>IF((D12&gt;=1995)*AND(F12&gt;94),(I12/Standards!$G$12),"---")</f>
        <v>---</v>
      </c>
      <c r="Q12" s="25"/>
    </row>
    <row r="13" spans="1:17" s="3" customFormat="1" ht="11.25">
      <c r="A13" s="23" t="str">
        <f>IF(2012-D13&lt;18,"Yth",IF(2012-D13&lt;21,"Jun","Sen"))</f>
        <v>Yth</v>
      </c>
      <c r="B13" s="7">
        <f>VLOOKUP(F13,Men__weight_categories,2,TRUE)</f>
        <v>56</v>
      </c>
      <c r="C13" s="26" t="s">
        <v>39</v>
      </c>
      <c r="D13" s="64">
        <v>1996</v>
      </c>
      <c r="E13" s="65" t="s">
        <v>9</v>
      </c>
      <c r="F13" s="66">
        <v>54</v>
      </c>
      <c r="G13" s="64">
        <v>62</v>
      </c>
      <c r="H13" s="64">
        <v>85</v>
      </c>
      <c r="I13" s="64">
        <f>SUM(G13:H13)</f>
        <v>147</v>
      </c>
      <c r="J13" s="69">
        <f>I13*IF(F13&gt;173.961,1,10^(0.784780654*LOG(F13/173.961)^2))</f>
        <v>234.36207031324196</v>
      </c>
      <c r="K13" s="68">
        <v>40810</v>
      </c>
      <c r="L13" s="26" t="s">
        <v>73</v>
      </c>
      <c r="M13" s="8">
        <f>I13/VLOOKUP(B13,Standards!$A$3:$H$12,3)</f>
        <v>0.7170731707317073</v>
      </c>
      <c r="N13" s="27">
        <f>IF(D13&gt;=1992,I13/VLOOKUP(B13,Standards!$A$3:$H$12,5),"---")</f>
        <v>0.8596491228070176</v>
      </c>
      <c r="O13" s="27">
        <f>IF(D13&gt;=1995,I13/VLOOKUP(B13,Standards!$A$3:$H$12,7),"---")</f>
        <v>1.176</v>
      </c>
      <c r="P13" s="25" t="str">
        <f>IF((D13&gt;=1995)*AND(F13&gt;94),(I13/Standards!$G$12),"---")</f>
        <v>---</v>
      </c>
      <c r="Q13" s="25"/>
    </row>
    <row r="14" spans="1:17" s="3" customFormat="1" ht="11.25">
      <c r="A14" s="23" t="str">
        <f>IF(2012-D14&lt;18,"Yth",IF(2012-D14&lt;21,"Jun","Sen"))</f>
        <v>Sen</v>
      </c>
      <c r="B14" s="7">
        <f>VLOOKUP(F14,Men__weight_categories,2,TRUE)</f>
        <v>62</v>
      </c>
      <c r="C14" s="26" t="s">
        <v>78</v>
      </c>
      <c r="D14" s="64">
        <v>1991</v>
      </c>
      <c r="E14" s="65" t="s">
        <v>32</v>
      </c>
      <c r="F14" s="66">
        <v>61</v>
      </c>
      <c r="G14" s="64">
        <v>71</v>
      </c>
      <c r="H14" s="64">
        <v>95</v>
      </c>
      <c r="I14" s="64">
        <f>SUM(G14:H14)</f>
        <v>166</v>
      </c>
      <c r="J14" s="66">
        <f>I14*IF(F14&gt;173.961,1,10^(0.784780654*LOG(F14/173.961)^2))</f>
        <v>241.35954817974414</v>
      </c>
      <c r="K14" s="68">
        <v>40810</v>
      </c>
      <c r="L14" s="26" t="s">
        <v>73</v>
      </c>
      <c r="M14" s="8">
        <f>I14/VLOOKUP(B14,Standards!$A$3:$H$12,3)</f>
        <v>0.7155172413793104</v>
      </c>
      <c r="N14" s="27" t="str">
        <f>IF(D14&gt;=1992,I14/VLOOKUP(B14,Standards!$A$3:$H$12,5),"---")</f>
        <v>---</v>
      </c>
      <c r="O14" s="27" t="str">
        <f>IF(D14&gt;=1995,I14/VLOOKUP(B14,Standards!$A$3:$H$12,7),"---")</f>
        <v>---</v>
      </c>
      <c r="P14" s="25" t="str">
        <f>IF((D14&gt;=1995)*AND(F14&gt;94),(I14/Standards!$G$12),"---")</f>
        <v>---</v>
      </c>
      <c r="Q14" s="25"/>
    </row>
    <row r="15" spans="1:17" s="3" customFormat="1" ht="11.25">
      <c r="A15" s="23" t="str">
        <f>IF(2012-D15&lt;18,"Yth",IF(2012-D15&lt;21,"Jun","Sen"))</f>
        <v>Yth</v>
      </c>
      <c r="B15" s="7">
        <f>VLOOKUP(F15,Men__weight_categories,2,TRUE)</f>
        <v>69</v>
      </c>
      <c r="C15" s="26" t="s">
        <v>53</v>
      </c>
      <c r="D15" s="64">
        <v>1996</v>
      </c>
      <c r="E15" s="65" t="s">
        <v>9</v>
      </c>
      <c r="F15" s="66">
        <v>67.5</v>
      </c>
      <c r="G15" s="64">
        <v>76</v>
      </c>
      <c r="H15" s="64">
        <v>100</v>
      </c>
      <c r="I15" s="64">
        <f>SUM(G15:H15)</f>
        <v>176</v>
      </c>
      <c r="J15" s="66">
        <f>I15*IF(F15&gt;173.961,1,10^(0.784780654*LOG(F15/173.961)^2))</f>
        <v>238.87690874099565</v>
      </c>
      <c r="K15" s="68">
        <v>40810</v>
      </c>
      <c r="L15" s="26" t="s">
        <v>73</v>
      </c>
      <c r="M15" s="8">
        <f>I15/VLOOKUP(B15,Standards!$A$3:$H$12,3)</f>
        <v>0.7154471544715447</v>
      </c>
      <c r="N15" s="27">
        <f>IF(D15&gt;=1992,I15/VLOOKUP(B15,Standards!$A$3:$H$12,5),"---")</f>
        <v>0.8585365853658536</v>
      </c>
      <c r="O15" s="27">
        <f>IF(D15&gt;=1995,I15/VLOOKUP(B15,Standards!$A$3:$H$12,7),"---")</f>
        <v>1.1733333333333333</v>
      </c>
      <c r="P15" s="25" t="str">
        <f>IF((D15&gt;=1995)*AND(F15&gt;94),(I15/Standards!$G$12),"---")</f>
        <v>---</v>
      </c>
      <c r="Q15" s="25"/>
    </row>
    <row r="16" spans="1:17" s="3" customFormat="1" ht="11.25">
      <c r="A16" s="23" t="str">
        <f>IF(2012-D16&lt;18,"Yth",IF(2012-D16&lt;21,"Jun","Sen"))</f>
        <v>Jun</v>
      </c>
      <c r="B16" s="7">
        <f>VLOOKUP(F16,Men__weight_categories,2,TRUE)</f>
        <v>85</v>
      </c>
      <c r="C16" s="26" t="s">
        <v>43</v>
      </c>
      <c r="D16" s="64">
        <v>1993</v>
      </c>
      <c r="E16" s="65" t="s">
        <v>9</v>
      </c>
      <c r="F16" s="66">
        <v>79.2</v>
      </c>
      <c r="G16" s="64">
        <v>92</v>
      </c>
      <c r="H16" s="64">
        <v>113</v>
      </c>
      <c r="I16" s="64">
        <f>SUM(G16:H16)</f>
        <v>205</v>
      </c>
      <c r="J16" s="71">
        <f>I16*IF(F16&gt;173.961,1,10^(0.784780654*LOG(F16/173.961)^2))</f>
        <v>253.16187693041124</v>
      </c>
      <c r="K16" s="68">
        <v>40810</v>
      </c>
      <c r="L16" s="26" t="s">
        <v>73</v>
      </c>
      <c r="M16" s="8">
        <f>I16/VLOOKUP(B16,Standards!$A$3:$H$12,3)</f>
        <v>0.7142857142857143</v>
      </c>
      <c r="N16" s="27">
        <f>IF(D16&gt;=1992,I16/VLOOKUP(B16,Standards!$A$3:$H$12,5),"---")</f>
        <v>0.8577405857740585</v>
      </c>
      <c r="O16" s="27" t="str">
        <f>IF(D16&gt;=1995,I16/VLOOKUP(B16,Standards!$A$3:$H$12,7),"---")</f>
        <v>---</v>
      </c>
      <c r="P16" s="25" t="str">
        <f>IF((D16&gt;=1995)*AND(F16&gt;94),(I16/Standards!$G$12),"---")</f>
        <v>---</v>
      </c>
      <c r="Q16" s="25"/>
    </row>
    <row r="17" spans="1:16" ht="11.25">
      <c r="A17" s="23" t="str">
        <f>IF(2012-D17&lt;18,"Yth",IF(2012-D17&lt;21,"Jun","Sen"))</f>
        <v>Jun</v>
      </c>
      <c r="B17" s="7">
        <f>VLOOKUP(F17,Men__weight_categories,2,TRUE)</f>
        <v>77</v>
      </c>
      <c r="C17" s="26" t="s">
        <v>37</v>
      </c>
      <c r="D17" s="64">
        <v>1994</v>
      </c>
      <c r="E17" s="65" t="s">
        <v>9</v>
      </c>
      <c r="F17" s="66">
        <v>76.9</v>
      </c>
      <c r="G17" s="64">
        <v>91</v>
      </c>
      <c r="H17" s="64">
        <v>105</v>
      </c>
      <c r="I17" s="64">
        <f>SUM(G17:H17)</f>
        <v>196</v>
      </c>
      <c r="J17" s="66">
        <f>I17*IF(F17&gt;173.961,1,10^(0.784780654*LOG(F17/173.961)^2))</f>
        <v>245.97664422788657</v>
      </c>
      <c r="K17" s="68">
        <v>40810</v>
      </c>
      <c r="L17" s="26" t="s">
        <v>73</v>
      </c>
      <c r="M17" s="8">
        <f>I17/VLOOKUP(B17,Standards!$A$3:$H$12,3)</f>
        <v>0.7127272727272728</v>
      </c>
      <c r="N17" s="27">
        <f>IF(D17&gt;=1992,I17/VLOOKUP(B17,Standards!$A$3:$H$12,5),"---")</f>
        <v>0.8558951965065502</v>
      </c>
      <c r="O17" s="27" t="str">
        <f>IF(D17&gt;=1995,I17/VLOOKUP(B17,Standards!$A$3:$H$12,7),"---")</f>
        <v>---</v>
      </c>
      <c r="P17" s="25" t="str">
        <f>IF((D17&gt;=1995)*AND(F17&gt;94),(I17/Standards!$G$12),"---")</f>
        <v>---</v>
      </c>
    </row>
    <row r="18" spans="1:16" ht="11.25">
      <c r="A18" s="23" t="str">
        <f>IF(2012-D18&lt;18,"Yth",IF(2012-D18&lt;21,"Jun","Sen"))</f>
        <v>Jun</v>
      </c>
      <c r="B18" s="7">
        <f>VLOOKUP(F18,Men__weight_categories,2,TRUE)</f>
        <v>69</v>
      </c>
      <c r="C18" s="26" t="s">
        <v>44</v>
      </c>
      <c r="D18" s="64">
        <v>1992</v>
      </c>
      <c r="E18" s="65" t="s">
        <v>9</v>
      </c>
      <c r="F18" s="66">
        <v>65.15</v>
      </c>
      <c r="G18" s="64">
        <v>70</v>
      </c>
      <c r="H18" s="64">
        <v>105</v>
      </c>
      <c r="I18" s="64">
        <f>SUM(G18:H18)</f>
        <v>175</v>
      </c>
      <c r="J18" s="66">
        <f>I18*IF(F18&gt;173.961,1,10^(0.784780654*LOG(F18/173.961)^2))</f>
        <v>243.11765788844528</v>
      </c>
      <c r="K18" s="68">
        <v>40810</v>
      </c>
      <c r="L18" s="26" t="s">
        <v>73</v>
      </c>
      <c r="M18" s="8">
        <f>I18/VLOOKUP(B18,Standards!$A$3:$H$12,3)</f>
        <v>0.7113821138211383</v>
      </c>
      <c r="N18" s="27">
        <f>IF(D18&gt;=1992,I18/VLOOKUP(B18,Standards!$A$3:$H$12,5),"---")</f>
        <v>0.8536585365853658</v>
      </c>
      <c r="O18" s="27" t="str">
        <f>IF(D18&gt;=1995,I18/VLOOKUP(B18,Standards!$A$3:$H$12,7),"---")</f>
        <v>---</v>
      </c>
      <c r="P18" s="25" t="str">
        <f>IF((D18&gt;=1995)*AND(F18&gt;94),(I18/Standards!$G$12),"---")</f>
        <v>---</v>
      </c>
    </row>
    <row r="19" spans="1:16" ht="11.25">
      <c r="A19" s="23" t="str">
        <f>IF(2012-D19&lt;18,"Yth",IF(2012-D19&lt;21,"Jun","Sen"))</f>
        <v>Jun</v>
      </c>
      <c r="B19" s="7">
        <f>VLOOKUP(F19,Men__weight_categories,2,TRUE)</f>
        <v>69</v>
      </c>
      <c r="C19" s="26" t="s">
        <v>81</v>
      </c>
      <c r="D19" s="64">
        <v>1994</v>
      </c>
      <c r="E19" s="65" t="s">
        <v>9</v>
      </c>
      <c r="F19" s="66">
        <v>65.15</v>
      </c>
      <c r="G19" s="64">
        <v>72</v>
      </c>
      <c r="H19" s="64">
        <v>100</v>
      </c>
      <c r="I19" s="64">
        <f>SUM(G19:H19)</f>
        <v>172</v>
      </c>
      <c r="J19" s="66">
        <f>I19*IF(F19&gt;173.961,1,10^(0.784780654*LOG(F19/173.961)^2))</f>
        <v>238.94992661035764</v>
      </c>
      <c r="K19" s="68">
        <v>40810</v>
      </c>
      <c r="L19" s="26" t="s">
        <v>73</v>
      </c>
      <c r="M19" s="8">
        <f>I19/VLOOKUP(B19,Standards!$A$3:$H$12,3)</f>
        <v>0.6991869918699187</v>
      </c>
      <c r="N19" s="27">
        <f>IF(D19&gt;=1992,I19/VLOOKUP(B19,Standards!$A$3:$H$12,5),"---")</f>
        <v>0.8390243902439024</v>
      </c>
      <c r="O19" s="27" t="str">
        <f>IF(D19&gt;=1995,I19/VLOOKUP(B19,Standards!$A$3:$H$12,7),"---")</f>
        <v>---</v>
      </c>
      <c r="P19" s="25" t="str">
        <f>IF((D19&gt;=1995)*AND(F19&gt;94),(I19/Standards!$G$12),"---")</f>
        <v>---</v>
      </c>
    </row>
    <row r="20" spans="1:16" ht="11.25">
      <c r="A20" s="23" t="str">
        <f>IF(2012-D20&lt;18,"Yth",IF(2012-D20&lt;21,"Jun","Sen"))</f>
        <v>Yth</v>
      </c>
      <c r="B20" s="7">
        <f>VLOOKUP(F20,Men__weight_categories,2,TRUE)</f>
        <v>56</v>
      </c>
      <c r="C20" s="26" t="s">
        <v>39</v>
      </c>
      <c r="D20" s="64">
        <v>1996</v>
      </c>
      <c r="E20" s="65" t="s">
        <v>9</v>
      </c>
      <c r="F20" s="66">
        <v>54.2</v>
      </c>
      <c r="G20" s="64">
        <v>61</v>
      </c>
      <c r="H20" s="64">
        <v>82</v>
      </c>
      <c r="I20" s="64">
        <f>SUM(G20:H20)</f>
        <v>143</v>
      </c>
      <c r="J20" s="66">
        <f>I20*IF(F20&gt;173.961,1,10^(0.784780654*LOG(F20/173.961)^2))</f>
        <v>227.31482420112164</v>
      </c>
      <c r="K20" s="68">
        <v>40809</v>
      </c>
      <c r="L20" s="26" t="s">
        <v>68</v>
      </c>
      <c r="M20" s="8">
        <f>I20/VLOOKUP(B20,Standards!$A$3:$H$12,3)</f>
        <v>0.697560975609756</v>
      </c>
      <c r="N20" s="27">
        <f>IF(D20&gt;=1992,I20/VLOOKUP(B20,Standards!$A$3:$H$12,5),"---")</f>
        <v>0.8362573099415205</v>
      </c>
      <c r="O20" s="27">
        <f>IF(D20&gt;=1995,I20/VLOOKUP(B20,Standards!$A$3:$H$12,7),"---")</f>
        <v>1.144</v>
      </c>
      <c r="P20" s="25" t="str">
        <f>IF((D20&gt;=1995)*AND(F20&gt;94),(I20/Standards!$G$12),"---")</f>
        <v>---</v>
      </c>
    </row>
    <row r="21" spans="1:16" ht="11.25">
      <c r="A21" s="23" t="str">
        <f>IF(2012-D21&lt;18,"Yth",IF(2012-D21&lt;21,"Jun","Sen"))</f>
        <v>Sen</v>
      </c>
      <c r="B21" s="7">
        <f>VLOOKUP(F21,Men__weight_categories,2,TRUE)</f>
        <v>85</v>
      </c>
      <c r="C21" s="26" t="s">
        <v>85</v>
      </c>
      <c r="D21" s="64">
        <v>1991</v>
      </c>
      <c r="E21" s="65" t="s">
        <v>9</v>
      </c>
      <c r="F21" s="66">
        <v>84.1</v>
      </c>
      <c r="G21" s="64">
        <v>90</v>
      </c>
      <c r="H21" s="64">
        <v>105</v>
      </c>
      <c r="I21" s="64">
        <f>SUM(G21:H21)</f>
        <v>195</v>
      </c>
      <c r="J21" s="71">
        <f>I21*IF(F21&gt;173.961,1,10^(0.784780654*LOG(F21/173.961)^2))</f>
        <v>233.4689305443951</v>
      </c>
      <c r="K21" s="68">
        <v>40810</v>
      </c>
      <c r="L21" s="26" t="s">
        <v>73</v>
      </c>
      <c r="M21" s="8">
        <f>I21/VLOOKUP(B21,Standards!$A$3:$H$12,3)</f>
        <v>0.6794425087108014</v>
      </c>
      <c r="N21" s="27" t="str">
        <f>IF(D21&gt;=1992,I21/VLOOKUP(B21,Standards!$A$3:$H$12,5),"---")</f>
        <v>---</v>
      </c>
      <c r="O21" s="27" t="str">
        <f>IF(D21&gt;=1995,I21/VLOOKUP(B21,Standards!$A$3:$H$12,7),"---")</f>
        <v>---</v>
      </c>
      <c r="P21" s="25" t="str">
        <f>IF((D21&gt;=1995)*AND(F21&gt;94),(I21/Standards!$G$12),"---")</f>
        <v>---</v>
      </c>
    </row>
    <row r="22" spans="1:16" ht="11.25">
      <c r="A22" s="23" t="str">
        <f>IF(2012-D22&lt;18,"Yth",IF(2012-D22&lt;21,"Jun","Sen"))</f>
        <v>Yth</v>
      </c>
      <c r="B22" s="7">
        <f>VLOOKUP(F22,Men__weight_categories,2,TRUE)</f>
        <v>56</v>
      </c>
      <c r="C22" s="26" t="s">
        <v>61</v>
      </c>
      <c r="D22" s="64">
        <v>1995</v>
      </c>
      <c r="E22" s="65" t="s">
        <v>30</v>
      </c>
      <c r="F22" s="66">
        <v>54.15</v>
      </c>
      <c r="G22" s="64">
        <v>61</v>
      </c>
      <c r="H22" s="64">
        <v>78</v>
      </c>
      <c r="I22" s="64">
        <f>SUM(G22:H22)</f>
        <v>139</v>
      </c>
      <c r="J22" s="69">
        <f>I22*IF(F22&gt;173.961,1,10^(0.784780654*LOG(F22/173.961)^2))</f>
        <v>221.1185956274535</v>
      </c>
      <c r="K22" s="68">
        <v>40810</v>
      </c>
      <c r="L22" s="26" t="s">
        <v>73</v>
      </c>
      <c r="M22" s="8">
        <f>I22/VLOOKUP(B22,Standards!$A$3:$H$12,3)</f>
        <v>0.6780487804878049</v>
      </c>
      <c r="N22" s="27">
        <f>IF(D22&gt;=1992,I22/VLOOKUP(B22,Standards!$A$3:$H$12,5),"---")</f>
        <v>0.8128654970760234</v>
      </c>
      <c r="O22" s="27">
        <f>IF(D22&gt;=1995,I22/VLOOKUP(B22,Standards!$A$3:$H$12,7),"---")</f>
        <v>1.112</v>
      </c>
      <c r="P22" s="25" t="str">
        <f>IF((D22&gt;=1995)*AND(F22&gt;94),(I22/Standards!$G$12),"---")</f>
        <v>---</v>
      </c>
    </row>
    <row r="23" spans="1:16" ht="11.25">
      <c r="A23" s="23" t="str">
        <f>IF(2012-D23&lt;18,"Yth",IF(2012-D23&lt;21,"Jun","Sen"))</f>
        <v>Yth</v>
      </c>
      <c r="B23" s="7">
        <f>VLOOKUP(F23,Men__weight_categories,2,TRUE)</f>
        <v>62</v>
      </c>
      <c r="C23" s="26" t="s">
        <v>75</v>
      </c>
      <c r="D23" s="64">
        <v>1996</v>
      </c>
      <c r="E23" s="65" t="s">
        <v>32</v>
      </c>
      <c r="F23" s="66">
        <v>58.2</v>
      </c>
      <c r="G23" s="64">
        <v>65</v>
      </c>
      <c r="H23" s="64">
        <v>90</v>
      </c>
      <c r="I23" s="64">
        <f>SUM(G23:H23)</f>
        <v>155</v>
      </c>
      <c r="J23" s="66">
        <f>I23*IF(F23&gt;173.961,1,10^(0.784780654*LOG(F23/173.961)^2))</f>
        <v>233.23427779082797</v>
      </c>
      <c r="K23" s="68">
        <v>40809</v>
      </c>
      <c r="L23" s="26" t="s">
        <v>68</v>
      </c>
      <c r="M23" s="8">
        <f>I23/VLOOKUP(B23,Standards!$A$3:$H$12,3)</f>
        <v>0.6681034482758621</v>
      </c>
      <c r="N23" s="27">
        <f>IF(D23&gt;=1992,I23/VLOOKUP(B23,Standards!$A$3:$H$12,5),"---")</f>
        <v>0.8031088082901554</v>
      </c>
      <c r="O23" s="27">
        <f>IF(D23&gt;=1995,I23/VLOOKUP(B23,Standards!$A$3:$H$12,7),"---")</f>
        <v>1.099290780141844</v>
      </c>
      <c r="P23" s="25" t="str">
        <f>IF((D23&gt;=1995)*AND(F23&gt;94),(I23/Standards!$G$12),"---")</f>
        <v>---</v>
      </c>
    </row>
    <row r="24" spans="1:16" ht="11.25">
      <c r="A24" s="23" t="str">
        <f>IF(2012-D24&lt;18,"Yth",IF(2012-D24&lt;21,"Jun","Sen"))</f>
        <v>Jun</v>
      </c>
      <c r="B24" s="7">
        <f>VLOOKUP(F24,Men__weight_categories,2,TRUE)</f>
        <v>105</v>
      </c>
      <c r="C24" s="26" t="s">
        <v>62</v>
      </c>
      <c r="D24" s="64">
        <v>1994</v>
      </c>
      <c r="E24" s="65" t="s">
        <v>35</v>
      </c>
      <c r="F24" s="66">
        <v>101.55</v>
      </c>
      <c r="G24" s="64">
        <v>90</v>
      </c>
      <c r="H24" s="64">
        <v>115</v>
      </c>
      <c r="I24" s="64">
        <f>SUM(G24:H24)</f>
        <v>205</v>
      </c>
      <c r="J24" s="69">
        <f>I24*IF(F24&gt;173.961,1,10^(0.784780654*LOG(F24/173.961)^2))</f>
        <v>226.2776190201978</v>
      </c>
      <c r="K24" s="68">
        <v>40810</v>
      </c>
      <c r="L24" s="26" t="s">
        <v>73</v>
      </c>
      <c r="M24" s="8">
        <f>I24/VLOOKUP(B24,Standards!$A$3:$H$12,3)</f>
        <v>0.6634304207119741</v>
      </c>
      <c r="N24" s="27">
        <f>IF(D24&gt;=1992,I24/VLOOKUP(B24,Standards!$A$3:$H$12,5),"---")</f>
        <v>0.7945736434108527</v>
      </c>
      <c r="O24" s="27" t="str">
        <f>IF(D24&gt;=1995,I24/VLOOKUP(B24,Standards!$A$3:$H$12,7),"---")</f>
        <v>---</v>
      </c>
      <c r="P24" s="25" t="str">
        <f>IF((D24&gt;=1995)*AND(F24&gt;94),(I24/Standards!$G$12),"---")</f>
        <v>---</v>
      </c>
    </row>
    <row r="25" spans="1:16" ht="11.25">
      <c r="A25" s="23" t="str">
        <f>IF(2012-D25&lt;18,"Yth",IF(2012-D25&lt;21,"Jun","Sen"))</f>
        <v>Yth</v>
      </c>
      <c r="B25" s="7">
        <f>VLOOKUP(F25,Men__weight_categories,2,TRUE)</f>
        <v>56</v>
      </c>
      <c r="C25" s="26" t="s">
        <v>40</v>
      </c>
      <c r="D25" s="64">
        <v>1996</v>
      </c>
      <c r="E25" s="65" t="s">
        <v>9</v>
      </c>
      <c r="F25" s="66">
        <v>52.45</v>
      </c>
      <c r="G25" s="64">
        <v>57</v>
      </c>
      <c r="H25" s="64">
        <v>75</v>
      </c>
      <c r="I25" s="64">
        <f>SUM(G25:H25)</f>
        <v>132</v>
      </c>
      <c r="J25" s="66">
        <f>I25*IF(F25&gt;173.961,1,10^(0.784780654*LOG(F25/173.961)^2))</f>
        <v>215.45449438082886</v>
      </c>
      <c r="K25" s="68">
        <v>40809</v>
      </c>
      <c r="L25" s="26" t="s">
        <v>68</v>
      </c>
      <c r="M25" s="8">
        <f>I25/VLOOKUP(B25,Standards!$A$3:$H$12,3)</f>
        <v>0.6439024390243903</v>
      </c>
      <c r="N25" s="27">
        <f>IF(D25&gt;=1992,I25/VLOOKUP(B25,Standards!$A$3:$H$12,5),"---")</f>
        <v>0.7719298245614035</v>
      </c>
      <c r="O25" s="27">
        <f>IF(D25&gt;=1995,I25/VLOOKUP(B25,Standards!$A$3:$H$12,7),"---")</f>
        <v>1.056</v>
      </c>
      <c r="P25" s="25" t="str">
        <f>IF((D25&gt;=1995)*AND(F25&gt;94),(I25/Standards!$G$12),"---")</f>
        <v>---</v>
      </c>
    </row>
    <row r="26" spans="1:16" ht="11.25">
      <c r="A26" s="23" t="str">
        <f>IF(2012-D26&lt;18,"Yth",IF(2012-D26&lt;21,"Jun","Sen"))</f>
        <v>Jun</v>
      </c>
      <c r="B26" s="7">
        <f>VLOOKUP(F26,Men__weight_categories,2,TRUE)</f>
        <v>85</v>
      </c>
      <c r="C26" s="26" t="s">
        <v>65</v>
      </c>
      <c r="D26" s="64">
        <v>1994</v>
      </c>
      <c r="E26" s="65" t="s">
        <v>32</v>
      </c>
      <c r="F26" s="66">
        <v>81.95</v>
      </c>
      <c r="G26" s="64">
        <v>75</v>
      </c>
      <c r="H26" s="64">
        <v>108</v>
      </c>
      <c r="I26" s="64">
        <f>SUM(G26:H26)</f>
        <v>183</v>
      </c>
      <c r="J26" s="71">
        <f>I26*IF(F26&gt;173.961,1,10^(0.784780654*LOG(F26/173.961)^2))</f>
        <v>221.98165793830523</v>
      </c>
      <c r="K26" s="68">
        <v>40810</v>
      </c>
      <c r="L26" s="26" t="s">
        <v>73</v>
      </c>
      <c r="M26" s="8">
        <f>I26/VLOOKUP(B26,Standards!$A$3:$H$12,3)</f>
        <v>0.6376306620209059</v>
      </c>
      <c r="N26" s="27">
        <f>IF(D26&gt;=1992,I26/VLOOKUP(B26,Standards!$A$3:$H$12,5),"---")</f>
        <v>0.7656903765690377</v>
      </c>
      <c r="O26" s="27" t="str">
        <f>IF(D26&gt;=1995,I26/VLOOKUP(B26,Standards!$A$3:$H$12,7),"---")</f>
        <v>---</v>
      </c>
      <c r="P26" s="25" t="str">
        <f>IF((D26&gt;=1995)*AND(F26&gt;94),(I26/Standards!$G$12),"---")</f>
        <v>---</v>
      </c>
    </row>
    <row r="27" spans="1:16" ht="11.25">
      <c r="A27" s="23" t="str">
        <f>IF(2012-D27&lt;18,"Yth",IF(2012-D27&lt;21,"Jun","Sen"))</f>
        <v>Jun</v>
      </c>
      <c r="B27" s="7">
        <f>VLOOKUP(F27,Men__weight_categories,2,TRUE)</f>
        <v>85</v>
      </c>
      <c r="C27" s="26" t="s">
        <v>86</v>
      </c>
      <c r="D27" s="64">
        <v>1994</v>
      </c>
      <c r="E27" s="65" t="s">
        <v>30</v>
      </c>
      <c r="F27" s="66">
        <v>78.2</v>
      </c>
      <c r="G27" s="64">
        <v>77</v>
      </c>
      <c r="H27" s="64">
        <v>105</v>
      </c>
      <c r="I27" s="64">
        <f>SUM(G27:H27)</f>
        <v>182</v>
      </c>
      <c r="J27" s="71">
        <f>I27*IF(F27&gt;173.961,1,10^(0.784780654*LOG(F27/173.961)^2))</f>
        <v>226.30784168674884</v>
      </c>
      <c r="K27" s="68">
        <v>40810</v>
      </c>
      <c r="L27" s="26" t="s">
        <v>73</v>
      </c>
      <c r="M27" s="8">
        <f>I27/VLOOKUP(B27,Standards!$A$3:$H$12,3)</f>
        <v>0.6341463414634146</v>
      </c>
      <c r="N27" s="27">
        <f>IF(D27&gt;=1992,I27/VLOOKUP(B27,Standards!$A$3:$H$12,5),"---")</f>
        <v>0.7615062761506276</v>
      </c>
      <c r="O27" s="27" t="str">
        <f>IF(D27&gt;=1995,I27/VLOOKUP(B27,Standards!$A$3:$H$12,7),"---")</f>
        <v>---</v>
      </c>
      <c r="P27" s="25" t="str">
        <f>IF((D27&gt;=1995)*AND(F27&gt;94),(I27/Standards!$G$12),"---")</f>
        <v>---</v>
      </c>
    </row>
    <row r="28" spans="1:16" ht="11.25">
      <c r="A28" s="23" t="str">
        <f>IF(2012-D28&lt;18,"Yth",IF(2012-D28&lt;21,"Jun","Sen"))</f>
        <v>Yth</v>
      </c>
      <c r="B28" s="7">
        <f>VLOOKUP(F28,Men__weight_categories,2,TRUE)</f>
        <v>105</v>
      </c>
      <c r="C28" s="26" t="s">
        <v>90</v>
      </c>
      <c r="D28" s="64">
        <v>1995</v>
      </c>
      <c r="E28" s="65" t="s">
        <v>30</v>
      </c>
      <c r="F28" s="66">
        <v>103</v>
      </c>
      <c r="G28" s="64">
        <v>88</v>
      </c>
      <c r="H28" s="64">
        <v>105</v>
      </c>
      <c r="I28" s="64">
        <f>SUM(G28:H28)</f>
        <v>193</v>
      </c>
      <c r="J28" s="69">
        <f>I28*IF(F28&gt;173.961,1,10^(0.784780654*LOG(F28/173.961)^2))</f>
        <v>211.94128793517234</v>
      </c>
      <c r="K28" s="68">
        <v>40810</v>
      </c>
      <c r="L28" s="26" t="s">
        <v>73</v>
      </c>
      <c r="M28" s="8">
        <f>I28/VLOOKUP(B28,Standards!$A$3:$H$12,3)</f>
        <v>0.6245954692556634</v>
      </c>
      <c r="N28" s="27">
        <f>IF(D28&gt;=1992,I28/VLOOKUP(B28,Standards!$A$3:$H$12,5),"---")</f>
        <v>0.748062015503876</v>
      </c>
      <c r="O28" s="27">
        <f>IF(D28&gt;=1995,I28/VLOOKUP(B28,Standards!$A$3:$H$12,7),"---")</f>
        <v>1.0211640211640212</v>
      </c>
      <c r="P28" s="25">
        <f>IF((D28&gt;=1995)*AND(F28&gt;94),(I28/Standards!$G$12),"---")</f>
        <v>1.0052083333333333</v>
      </c>
    </row>
    <row r="29" spans="1:16" ht="11.25">
      <c r="A29" s="23" t="str">
        <f>IF(2012-D29&lt;18,"Yth",IF(2012-D29&lt;21,"Jun","Sen"))</f>
        <v>Yth</v>
      </c>
      <c r="B29" s="7">
        <f>VLOOKUP(F29,Men__weight_categories,2,TRUE)</f>
        <v>56</v>
      </c>
      <c r="C29" s="26" t="s">
        <v>40</v>
      </c>
      <c r="D29" s="64">
        <v>1996</v>
      </c>
      <c r="E29" s="65" t="s">
        <v>9</v>
      </c>
      <c r="F29" s="66">
        <v>52.95</v>
      </c>
      <c r="G29" s="64">
        <v>53</v>
      </c>
      <c r="H29" s="64">
        <v>74</v>
      </c>
      <c r="I29" s="64">
        <f>SUM(G29:H29)</f>
        <v>127</v>
      </c>
      <c r="J29" s="69">
        <f>I29*IF(F29&gt;173.961,1,10^(0.784780654*LOG(F29/173.961)^2))</f>
        <v>205.69848356444152</v>
      </c>
      <c r="K29" s="68">
        <v>40810</v>
      </c>
      <c r="L29" s="26" t="s">
        <v>73</v>
      </c>
      <c r="M29" s="8">
        <f>I29/VLOOKUP(B29,Standards!$A$3:$H$12,3)</f>
        <v>0.6195121951219512</v>
      </c>
      <c r="N29" s="27">
        <f>IF(D29&gt;=1992,I29/VLOOKUP(B29,Standards!$A$3:$H$12,5),"---")</f>
        <v>0.7426900584795322</v>
      </c>
      <c r="O29" s="27">
        <f>IF(D29&gt;=1995,I29/VLOOKUP(B29,Standards!$A$3:$H$12,7),"---")</f>
        <v>1.016</v>
      </c>
      <c r="P29" s="25" t="str">
        <f>IF((D29&gt;=1995)*AND(F29&gt;94),(I29/Standards!$G$12),"---")</f>
        <v>---</v>
      </c>
    </row>
    <row r="30" spans="1:16" ht="11.25">
      <c r="A30" s="23" t="str">
        <f>IF(2012-D30&lt;18,"Yth",IF(2012-D30&lt;21,"Jun","Sen"))</f>
        <v>Yth</v>
      </c>
      <c r="B30" s="7">
        <f>VLOOKUP(F30,Men__weight_categories,2,TRUE)</f>
        <v>56</v>
      </c>
      <c r="C30" s="26" t="s">
        <v>47</v>
      </c>
      <c r="D30" s="64">
        <v>1998</v>
      </c>
      <c r="E30" s="65" t="s">
        <v>46</v>
      </c>
      <c r="F30" s="66">
        <v>55.1</v>
      </c>
      <c r="G30" s="64">
        <v>57</v>
      </c>
      <c r="H30" s="64">
        <v>70</v>
      </c>
      <c r="I30" s="64">
        <f>SUM(G30:H30)</f>
        <v>127</v>
      </c>
      <c r="J30" s="69">
        <f>I30*IF(F30&gt;173.961,1,10^(0.784780654*LOG(F30/173.961)^2))</f>
        <v>199.27377819378376</v>
      </c>
      <c r="K30" s="68">
        <v>40809</v>
      </c>
      <c r="L30" s="26" t="s">
        <v>68</v>
      </c>
      <c r="M30" s="8">
        <f>I30/VLOOKUP(B30,Standards!$A$3:$H$12,3)</f>
        <v>0.6195121951219512</v>
      </c>
      <c r="N30" s="27">
        <f>IF(D30&gt;=1992,I30/VLOOKUP(B30,Standards!$A$3:$H$12,5),"---")</f>
        <v>0.7426900584795322</v>
      </c>
      <c r="O30" s="27">
        <f>IF(D30&gt;=1995,I30/VLOOKUP(B30,Standards!$A$3:$H$12,7),"---")</f>
        <v>1.016</v>
      </c>
      <c r="P30" s="25" t="str">
        <f>IF((D30&gt;=1995)*AND(F30&gt;94),(I30/Standards!$G$12),"---")</f>
        <v>---</v>
      </c>
    </row>
    <row r="31" spans="1:16" ht="11.25">
      <c r="A31" s="23" t="str">
        <f>IF(2012-D31&lt;18,"Yth",IF(2012-D31&lt;21,"Jun","Sen"))</f>
        <v>Jun</v>
      </c>
      <c r="B31" s="7">
        <f>VLOOKUP(F31,Men__weight_categories,2,TRUE)</f>
        <v>105</v>
      </c>
      <c r="C31" s="26" t="s">
        <v>91</v>
      </c>
      <c r="D31" s="64">
        <v>1994</v>
      </c>
      <c r="E31" s="65" t="s">
        <v>52</v>
      </c>
      <c r="F31" s="66">
        <v>101.95</v>
      </c>
      <c r="G31" s="64">
        <v>81</v>
      </c>
      <c r="H31" s="64">
        <v>100</v>
      </c>
      <c r="I31" s="64">
        <f>SUM(G31:H31)</f>
        <v>181</v>
      </c>
      <c r="J31" s="69">
        <f>I31*IF(F31&gt;173.961,1,10^(0.784780654*LOG(F31/173.961)^2))</f>
        <v>199.49965969739392</v>
      </c>
      <c r="K31" s="68">
        <v>40810</v>
      </c>
      <c r="L31" s="26" t="s">
        <v>73</v>
      </c>
      <c r="M31" s="8">
        <f>I31/VLOOKUP(B31,Standards!$A$3:$H$12,3)</f>
        <v>0.5857605177993528</v>
      </c>
      <c r="N31" s="27">
        <f>IF(D31&gt;=1992,I31/VLOOKUP(B31,Standards!$A$3:$H$12,5),"---")</f>
        <v>0.7015503875968992</v>
      </c>
      <c r="O31" s="27" t="str">
        <f>IF(D31&gt;=1995,I31/VLOOKUP(B31,Standards!$A$3:$H$12,7),"---")</f>
        <v>---</v>
      </c>
      <c r="P31" s="25" t="str">
        <f>IF((D31&gt;=1995)*AND(F31&gt;94),(I31/Standards!$G$12),"---")</f>
        <v>---</v>
      </c>
    </row>
    <row r="32" spans="1:16" ht="11.25">
      <c r="A32" s="23" t="str">
        <f>IF(2012-D32&lt;18,"Yth",IF(2012-D32&lt;21,"Jun","Sen"))</f>
        <v>Yth</v>
      </c>
      <c r="B32" s="7">
        <f>VLOOKUP(F32,Men__weight_categories,2,TRUE)</f>
        <v>62</v>
      </c>
      <c r="C32" s="26" t="s">
        <v>47</v>
      </c>
      <c r="D32" s="64">
        <v>1998</v>
      </c>
      <c r="E32" s="65" t="s">
        <v>46</v>
      </c>
      <c r="F32" s="66">
        <v>56.35</v>
      </c>
      <c r="G32" s="64">
        <v>58</v>
      </c>
      <c r="H32" s="64">
        <v>74</v>
      </c>
      <c r="I32" s="64">
        <f>SUM(G32:H32)</f>
        <v>132</v>
      </c>
      <c r="J32" s="66">
        <f>I32*IF(F32&gt;173.961,1,10^(0.784780654*LOG(F32/173.961)^2))</f>
        <v>203.54477797085877</v>
      </c>
      <c r="K32" s="68">
        <v>40810</v>
      </c>
      <c r="L32" s="26" t="s">
        <v>73</v>
      </c>
      <c r="M32" s="8">
        <f>I32/VLOOKUP(B32,Standards!$A$3:$H$12,3)</f>
        <v>0.5689655172413793</v>
      </c>
      <c r="N32" s="27">
        <f>IF(D32&gt;=1992,I32/VLOOKUP(B32,Standards!$A$3:$H$12,5),"---")</f>
        <v>0.6839378238341969</v>
      </c>
      <c r="O32" s="27">
        <f>IF(D32&gt;=1995,I32/VLOOKUP(B32,Standards!$A$3:$H$12,7),"---")</f>
        <v>0.9361702127659575</v>
      </c>
      <c r="P32" s="25" t="str">
        <f>IF((D32&gt;=1995)*AND(F32&gt;94),(I32/Standards!$G$12),"---")</f>
        <v>---</v>
      </c>
    </row>
    <row r="33" spans="1:16" ht="11.25">
      <c r="A33" s="23" t="str">
        <f>IF(2012-D33&lt;18,"Yth",IF(2012-D33&lt;21,"Jun","Sen"))</f>
        <v>Yth</v>
      </c>
      <c r="B33" s="7">
        <f>VLOOKUP(F33,Men__weight_categories,2,TRUE)</f>
        <v>69</v>
      </c>
      <c r="C33" s="26" t="s">
        <v>38</v>
      </c>
      <c r="D33" s="64">
        <v>1996</v>
      </c>
      <c r="E33" s="65" t="s">
        <v>9</v>
      </c>
      <c r="F33" s="66">
        <v>67.55</v>
      </c>
      <c r="G33" s="64">
        <v>61</v>
      </c>
      <c r="H33" s="64">
        <v>78</v>
      </c>
      <c r="I33" s="64">
        <f>SUM(G33:H33)</f>
        <v>139</v>
      </c>
      <c r="J33" s="66">
        <f>I33*IF(F33&gt;173.961,1,10^(0.784780654*LOG(F33/173.961)^2))</f>
        <v>188.56837600807842</v>
      </c>
      <c r="K33" s="68">
        <v>40809</v>
      </c>
      <c r="L33" s="26" t="s">
        <v>68</v>
      </c>
      <c r="M33" s="8">
        <f>I33/VLOOKUP(B33,Standards!$A$3:$H$12,3)</f>
        <v>0.5650406504065041</v>
      </c>
      <c r="N33" s="27">
        <f>IF(D33&gt;=1992,I33/VLOOKUP(B33,Standards!$A$3:$H$12,5),"---")</f>
        <v>0.6780487804878049</v>
      </c>
      <c r="O33" s="27">
        <f>IF(D33&gt;=1995,I33/VLOOKUP(B33,Standards!$A$3:$H$12,7),"---")</f>
        <v>0.9266666666666666</v>
      </c>
      <c r="P33" s="25" t="str">
        <f>IF((D33&gt;=1995)*AND(F33&gt;94),(I33/Standards!$G$12),"---")</f>
        <v>---</v>
      </c>
    </row>
    <row r="34" spans="1:16" ht="11.25">
      <c r="A34" s="23" t="str">
        <f>IF(2012-D34&lt;18,"Yth",IF(2012-D34&lt;21,"Jun","Sen"))</f>
        <v>Jun</v>
      </c>
      <c r="B34" s="7">
        <f>VLOOKUP(F34,Men__weight_categories,2,TRUE)</f>
        <v>85</v>
      </c>
      <c r="C34" s="26" t="s">
        <v>87</v>
      </c>
      <c r="D34" s="64">
        <v>1994</v>
      </c>
      <c r="E34" s="65" t="s">
        <v>30</v>
      </c>
      <c r="F34" s="66">
        <v>84.55</v>
      </c>
      <c r="G34" s="64">
        <v>72</v>
      </c>
      <c r="H34" s="64">
        <v>90</v>
      </c>
      <c r="I34" s="64">
        <f>SUM(G34:H34)</f>
        <v>162</v>
      </c>
      <c r="J34" s="71">
        <f>I34*IF(F34&gt;173.961,1,10^(0.784780654*LOG(F34/173.961)^2))</f>
        <v>193.44854595570513</v>
      </c>
      <c r="K34" s="68">
        <v>40810</v>
      </c>
      <c r="L34" s="26" t="s">
        <v>73</v>
      </c>
      <c r="M34" s="8">
        <f>I34/VLOOKUP(B34,Standards!$A$3:$H$12,3)</f>
        <v>0.5644599303135889</v>
      </c>
      <c r="N34" s="27">
        <f>IF(D34&gt;=1992,I34/VLOOKUP(B34,Standards!$A$3:$H$12,5),"---")</f>
        <v>0.6778242677824268</v>
      </c>
      <c r="O34" s="27" t="str">
        <f>IF(D34&gt;=1995,I34/VLOOKUP(B34,Standards!$A$3:$H$12,7),"---")</f>
        <v>---</v>
      </c>
      <c r="P34" s="25" t="str">
        <f>IF((D34&gt;=1995)*AND(F34&gt;94),(I34/Standards!$G$12),"---")</f>
        <v>---</v>
      </c>
    </row>
    <row r="35" spans="1:16" ht="11.25">
      <c r="A35" s="23" t="str">
        <f>IF(2012-D35&lt;18,"Yth",IF(2012-D35&lt;21,"Jun","Sen"))</f>
        <v>Yth</v>
      </c>
      <c r="B35" s="7">
        <f>VLOOKUP(F35,Men__weight_categories,2,TRUE)</f>
        <v>56</v>
      </c>
      <c r="C35" s="26" t="s">
        <v>74</v>
      </c>
      <c r="D35" s="64">
        <v>1996</v>
      </c>
      <c r="E35" s="65" t="s">
        <v>30</v>
      </c>
      <c r="F35" s="66">
        <v>51</v>
      </c>
      <c r="G35" s="64">
        <v>46</v>
      </c>
      <c r="H35" s="64">
        <v>61</v>
      </c>
      <c r="I35" s="64">
        <f>SUM(G35:H35)</f>
        <v>107</v>
      </c>
      <c r="J35" s="69">
        <f>I35*IF(F35&gt;173.961,1,10^(0.784780654*LOG(F35/173.961)^2))</f>
        <v>178.7443772653986</v>
      </c>
      <c r="K35" s="68">
        <v>40810</v>
      </c>
      <c r="L35" s="26" t="s">
        <v>73</v>
      </c>
      <c r="M35" s="8">
        <f>I35/VLOOKUP(B35,Standards!$A$3:$H$12,3)</f>
        <v>0.5219512195121951</v>
      </c>
      <c r="N35" s="27">
        <f>IF(D35&gt;=1992,I35/VLOOKUP(B35,Standards!$A$3:$H$12,5),"---")</f>
        <v>0.6257309941520468</v>
      </c>
      <c r="O35" s="27">
        <f>IF(D35&gt;=1995,I35/VLOOKUP(B35,Standards!$A$3:$H$12,7),"---")</f>
        <v>0.856</v>
      </c>
      <c r="P35" s="25" t="str">
        <f>IF((D35&gt;=1995)*AND(F35&gt;94),(I35/Standards!$G$12),"---")</f>
        <v>---</v>
      </c>
    </row>
    <row r="36" spans="1:16" ht="11.25">
      <c r="A36" s="23" t="str">
        <f>IF(2012-D36&lt;18,"Yth",IF(2012-D36&lt;21,"Jun","Sen"))</f>
        <v>Yth</v>
      </c>
      <c r="B36" s="7">
        <f>VLOOKUP(F36,Men__weight_categories,2,TRUE)</f>
        <v>77</v>
      </c>
      <c r="C36" s="26" t="s">
        <v>38</v>
      </c>
      <c r="D36" s="64">
        <v>1996</v>
      </c>
      <c r="E36" s="65" t="s">
        <v>9</v>
      </c>
      <c r="F36" s="66">
        <v>69.55</v>
      </c>
      <c r="G36" s="64">
        <v>63</v>
      </c>
      <c r="H36" s="64">
        <v>80</v>
      </c>
      <c r="I36" s="64">
        <f>SUM(G36:H36)</f>
        <v>143</v>
      </c>
      <c r="J36" s="66">
        <f>I36*IF(F36&gt;173.961,1,10^(0.784780654*LOG(F36/173.961)^2))</f>
        <v>190.43427989508604</v>
      </c>
      <c r="K36" s="68">
        <v>40810</v>
      </c>
      <c r="L36" s="26" t="s">
        <v>73</v>
      </c>
      <c r="M36" s="8">
        <f>I36/VLOOKUP(B36,Standards!$A$3:$H$12,3)</f>
        <v>0.52</v>
      </c>
      <c r="N36" s="27">
        <f>IF(D36&gt;=1992,I36/VLOOKUP(B36,Standards!$A$3:$H$12,5),"---")</f>
        <v>0.6244541484716157</v>
      </c>
      <c r="O36" s="27">
        <f>IF(D36&gt;=1995,I36/VLOOKUP(B36,Standards!$A$3:$H$12,7),"---")</f>
        <v>0.8511904761904762</v>
      </c>
      <c r="P36" s="25" t="str">
        <f>IF((D36&gt;=1995)*AND(F36&gt;94),(I36/Standards!$G$12),"---")</f>
        <v>---</v>
      </c>
    </row>
    <row r="37" spans="1:16" ht="11.25">
      <c r="A37" s="23" t="str">
        <f>IF(2012-D37&lt;18,"Yth",IF(2012-D37&lt;21,"Jun","Sen"))</f>
        <v>Yth</v>
      </c>
      <c r="B37" s="7" t="str">
        <f>VLOOKUP(F37,Men__weight_categories,2,TRUE)</f>
        <v>105+</v>
      </c>
      <c r="C37" s="26" t="s">
        <v>92</v>
      </c>
      <c r="D37" s="64">
        <v>1996</v>
      </c>
      <c r="E37" s="65" t="s">
        <v>32</v>
      </c>
      <c r="F37" s="66">
        <v>121.15</v>
      </c>
      <c r="G37" s="64">
        <v>65</v>
      </c>
      <c r="H37" s="64">
        <v>80</v>
      </c>
      <c r="I37" s="64">
        <f>SUM(G37:H37)</f>
        <v>145</v>
      </c>
      <c r="J37" s="66">
        <f>I37*IF(F37&gt;173.961,1,10^(0.784780654*LOG(F37/173.961)^2))</f>
        <v>151.61554555793953</v>
      </c>
      <c r="K37" s="68">
        <v>40809</v>
      </c>
      <c r="L37" s="26" t="s">
        <v>68</v>
      </c>
      <c r="M37" s="8">
        <f>I37/VLOOKUP(B37,Standards!$A$3:$H$12,3)</f>
        <v>0.45454545454545453</v>
      </c>
      <c r="N37" s="27">
        <f>IF(D37&gt;=1992,I37/VLOOKUP(B37,Standards!$A$3:$H$12,5),"---")</f>
        <v>0.5451127819548872</v>
      </c>
      <c r="O37" s="27">
        <f>IF(D37&gt;=1995,I37/VLOOKUP(B37,Standards!$A$3:$H$12,7),"---")</f>
        <v>0.7435897435897436</v>
      </c>
      <c r="P37" s="25">
        <f>IF((D37&gt;=1995)*AND(F37&gt;94),(I37/Standards!$G$12),"---")</f>
        <v>0.7552083333333334</v>
      </c>
    </row>
    <row r="38" spans="1:16" ht="11.25">
      <c r="A38" s="23" t="str">
        <f>IF(2012-D38&lt;18,"Yth",IF(2012-D38&lt;21,"Jun","Sen"))</f>
        <v>Yth</v>
      </c>
      <c r="B38" s="7">
        <f>VLOOKUP(F38,Men__weight_categories,2,TRUE)</f>
        <v>69</v>
      </c>
      <c r="C38" s="26" t="s">
        <v>79</v>
      </c>
      <c r="D38" s="64">
        <v>1996</v>
      </c>
      <c r="E38" s="65" t="s">
        <v>30</v>
      </c>
      <c r="F38" s="66">
        <v>66.75</v>
      </c>
      <c r="G38" s="64">
        <v>51</v>
      </c>
      <c r="H38" s="64">
        <v>59</v>
      </c>
      <c r="I38" s="64">
        <f>SUM(G38:H38)</f>
        <v>110</v>
      </c>
      <c r="J38" s="66">
        <f>I38*IF(F38&gt;173.961,1,10^(0.784780654*LOG(F38/173.961)^2))</f>
        <v>150.38485257655506</v>
      </c>
      <c r="K38" s="68">
        <v>40809</v>
      </c>
      <c r="L38" s="26" t="s">
        <v>68</v>
      </c>
      <c r="M38" s="8">
        <f>I38/VLOOKUP(B38,Standards!$A$3:$H$12,3)</f>
        <v>0.44715447154471544</v>
      </c>
      <c r="N38" s="27">
        <f>IF(D38&gt;=1992,I38/VLOOKUP(B38,Standards!$A$3:$H$12,5),"---")</f>
        <v>0.5365853658536586</v>
      </c>
      <c r="O38" s="27">
        <f>IF(D38&gt;=1995,I38/VLOOKUP(B38,Standards!$A$3:$H$12,7),"---")</f>
        <v>0.7333333333333333</v>
      </c>
      <c r="P38" s="25" t="str">
        <f>IF((D38&gt;=1995)*AND(F38&gt;94),(I38/Standards!$G$12),"---")</f>
        <v>---</v>
      </c>
    </row>
    <row r="39" spans="1:16" ht="11.25">
      <c r="A39" s="23" t="str">
        <f>IF(2012-D39&lt;18,"Yth",IF(2012-D39&lt;21,"Jun","Sen"))</f>
        <v>Yth</v>
      </c>
      <c r="B39" s="7">
        <f>VLOOKUP(F39,Men__weight_categories,2,TRUE)</f>
        <v>62</v>
      </c>
      <c r="C39" s="26" t="s">
        <v>63</v>
      </c>
      <c r="D39" s="64">
        <v>1996</v>
      </c>
      <c r="E39" s="65" t="s">
        <v>32</v>
      </c>
      <c r="F39" s="66">
        <v>59.2</v>
      </c>
      <c r="G39" s="64">
        <v>45</v>
      </c>
      <c r="H39" s="64">
        <v>55</v>
      </c>
      <c r="I39" s="64">
        <f>SUM(G39:H39)</f>
        <v>100</v>
      </c>
      <c r="J39" s="66">
        <f>I39*IF(F39&gt;173.961,1,10^(0.784780654*LOG(F39/173.961)^2))</f>
        <v>148.5872147722342</v>
      </c>
      <c r="K39" s="68">
        <v>40809</v>
      </c>
      <c r="L39" s="26" t="s">
        <v>68</v>
      </c>
      <c r="M39" s="8">
        <f>I39/VLOOKUP(B39,Standards!$A$3:$H$12,3)</f>
        <v>0.43103448275862066</v>
      </c>
      <c r="N39" s="27">
        <f>IF(D39&gt;=1992,I39/VLOOKUP(B39,Standards!$A$3:$H$12,5),"---")</f>
        <v>0.5181347150259067</v>
      </c>
      <c r="O39" s="27">
        <f>IF(D39&gt;=1995,I39/VLOOKUP(B39,Standards!$A$3:$H$12,7),"---")</f>
        <v>0.7092198581560284</v>
      </c>
      <c r="P39" s="25" t="str">
        <f>IF((D39&gt;=1995)*AND(F39&gt;94),(I39/Standards!$G$12),"---")</f>
        <v>---</v>
      </c>
    </row>
    <row r="40" spans="1:16" ht="11.25">
      <c r="A40" s="23" t="str">
        <f>IF(2012-D40&lt;18,"Yth",IF(2012-D40&lt;21,"Jun","Sen"))</f>
        <v>Yth</v>
      </c>
      <c r="B40" s="7">
        <f>VLOOKUP(F40,Men__weight_categories,2,TRUE)</f>
        <v>56</v>
      </c>
      <c r="C40" s="26" t="s">
        <v>72</v>
      </c>
      <c r="D40" s="64">
        <v>1996</v>
      </c>
      <c r="E40" s="65" t="s">
        <v>30</v>
      </c>
      <c r="F40" s="66">
        <v>53.65</v>
      </c>
      <c r="G40" s="64">
        <v>35</v>
      </c>
      <c r="H40" s="64">
        <v>48</v>
      </c>
      <c r="I40" s="64">
        <f>SUM(G40:H40)</f>
        <v>83</v>
      </c>
      <c r="J40" s="69">
        <f>I40*IF(F40&gt;173.961,1,10^(0.784780654*LOG(F40/173.961)^2))</f>
        <v>133.01674210443883</v>
      </c>
      <c r="K40" s="68">
        <v>40809</v>
      </c>
      <c r="L40" s="26" t="s">
        <v>68</v>
      </c>
      <c r="M40" s="8">
        <f>I40/VLOOKUP(B40,Standards!$A$3:$H$12,3)</f>
        <v>0.40487804878048783</v>
      </c>
      <c r="N40" s="27">
        <f>IF(D40&gt;=1992,I40/VLOOKUP(B40,Standards!$A$3:$H$12,5),"---")</f>
        <v>0.4853801169590643</v>
      </c>
      <c r="O40" s="27">
        <f>IF(D40&gt;=1995,I40/VLOOKUP(B40,Standards!$A$3:$H$12,7),"---")</f>
        <v>0.664</v>
      </c>
      <c r="P40" s="25" t="str">
        <f>IF((D40&gt;=1995)*AND(F40&gt;94),(I40/Standards!$G$12),"---")</f>
        <v>---</v>
      </c>
    </row>
    <row r="41" spans="1:16" ht="11.25">
      <c r="A41" s="23" t="str">
        <f>IF(2012-D41&lt;18,"Yth",IF(2012-D41&lt;21,"Jun","Sen"))</f>
        <v>Yth</v>
      </c>
      <c r="B41" s="7">
        <f>VLOOKUP(F41,Men__weight_categories,2,TRUE)</f>
        <v>77</v>
      </c>
      <c r="C41" s="26" t="s">
        <v>82</v>
      </c>
      <c r="D41" s="64">
        <v>1997</v>
      </c>
      <c r="E41" s="65" t="s">
        <v>30</v>
      </c>
      <c r="F41" s="66">
        <v>74.95</v>
      </c>
      <c r="G41" s="64">
        <v>51</v>
      </c>
      <c r="H41" s="64">
        <v>60</v>
      </c>
      <c r="I41" s="64">
        <f>SUM(G41:H41)</f>
        <v>111</v>
      </c>
      <c r="J41" s="66">
        <f>I41*IF(F41&gt;173.961,1,10^(0.784780654*LOG(F41/173.961)^2))</f>
        <v>141.34012064391123</v>
      </c>
      <c r="K41" s="68">
        <v>40809</v>
      </c>
      <c r="L41" s="26" t="s">
        <v>68</v>
      </c>
      <c r="M41" s="8">
        <f>I41/VLOOKUP(B41,Standards!$A$3:$H$12,3)</f>
        <v>0.4036363636363636</v>
      </c>
      <c r="N41" s="27">
        <f>IF(D41&gt;=1992,I41/VLOOKUP(B41,Standards!$A$3:$H$12,5),"---")</f>
        <v>0.4847161572052402</v>
      </c>
      <c r="O41" s="27">
        <f>IF(D41&gt;=1995,I41/VLOOKUP(B41,Standards!$A$3:$H$12,7),"---")</f>
        <v>0.6607142857142857</v>
      </c>
      <c r="P41" s="25" t="str">
        <f>IF((D41&gt;=1995)*AND(F41&gt;94),(I41/Standards!$G$12),"---")</f>
        <v>---</v>
      </c>
    </row>
    <row r="42" spans="1:16" ht="11.25">
      <c r="A42" s="23" t="str">
        <f>IF(2012-D42&lt;18,"Yth",IF(2012-D42&lt;21,"Jun","Sen"))</f>
        <v>Yth</v>
      </c>
      <c r="B42" s="7">
        <f>VLOOKUP(F42,Men__weight_categories,2,TRUE)</f>
        <v>62</v>
      </c>
      <c r="C42" s="26" t="s">
        <v>76</v>
      </c>
      <c r="D42" s="64">
        <v>1997</v>
      </c>
      <c r="E42" s="65" t="s">
        <v>30</v>
      </c>
      <c r="F42" s="66">
        <v>61.3</v>
      </c>
      <c r="G42" s="64">
        <v>35</v>
      </c>
      <c r="H42" s="64">
        <v>47</v>
      </c>
      <c r="I42" s="64">
        <f>SUM(G42:H42)</f>
        <v>82</v>
      </c>
      <c r="J42" s="66">
        <f>I42*IF(F42&gt;173.961,1,10^(0.784780654*LOG(F42/173.961)^2))</f>
        <v>118.80967445524283</v>
      </c>
      <c r="K42" s="68">
        <v>40809</v>
      </c>
      <c r="L42" s="26" t="s">
        <v>68</v>
      </c>
      <c r="M42" s="8">
        <f>I42/VLOOKUP(B42,Standards!$A$3:$H$12,3)</f>
        <v>0.35344827586206895</v>
      </c>
      <c r="N42" s="27">
        <f>IF(D42&gt;=1992,I42/VLOOKUP(B42,Standards!$A$3:$H$12,5),"---")</f>
        <v>0.42487046632124353</v>
      </c>
      <c r="O42" s="27">
        <f>IF(D42&gt;=1995,I42/VLOOKUP(B42,Standards!$A$3:$H$12,7),"---")</f>
        <v>0.5815602836879432</v>
      </c>
      <c r="P42" s="25" t="str">
        <f>IF((D42&gt;=1995)*AND(F42&gt;94),(I42/Standards!$G$12),"---")</f>
        <v>---</v>
      </c>
    </row>
    <row r="43" spans="1:16" ht="11.25">
      <c r="A43" s="23" t="str">
        <f>IF(2012-D43&lt;18,"Yth",IF(2012-D43&lt;21,"Jun","Sen"))</f>
        <v>Yth</v>
      </c>
      <c r="B43" s="7" t="str">
        <f>VLOOKUP(F43,Men__weight_categories,2,TRUE)</f>
        <v>105+</v>
      </c>
      <c r="C43" s="26" t="s">
        <v>93</v>
      </c>
      <c r="D43" s="64">
        <v>1996</v>
      </c>
      <c r="E43" s="65" t="s">
        <v>32</v>
      </c>
      <c r="F43" s="66">
        <v>105.75</v>
      </c>
      <c r="G43" s="64">
        <v>40</v>
      </c>
      <c r="H43" s="64">
        <v>60</v>
      </c>
      <c r="I43" s="64">
        <f>SUM(G43:H43)</f>
        <v>100</v>
      </c>
      <c r="J43" s="66">
        <f>I43*IF(F43&gt;173.961,1,10^(0.784780654*LOG(F43/173.961)^2))</f>
        <v>108.81102433164116</v>
      </c>
      <c r="K43" s="68">
        <v>40809</v>
      </c>
      <c r="L43" s="26" t="s">
        <v>68</v>
      </c>
      <c r="M43" s="8">
        <f>I43/VLOOKUP(B43,Standards!$A$3:$H$12,3)</f>
        <v>0.31347962382445144</v>
      </c>
      <c r="N43" s="27">
        <f>IF(D43&gt;=1992,I43/VLOOKUP(B43,Standards!$A$3:$H$12,5),"---")</f>
        <v>0.37593984962406013</v>
      </c>
      <c r="O43" s="27">
        <f>IF(D43&gt;=1995,I43/VLOOKUP(B43,Standards!$A$3:$H$12,7),"---")</f>
        <v>0.5128205128205128</v>
      </c>
      <c r="P43" s="25">
        <f>IF((D43&gt;=1995)*AND(F43&gt;94),(I43/Standards!$G$12),"---")</f>
        <v>0.5208333333333334</v>
      </c>
    </row>
    <row r="44" spans="1:16" ht="11.25">
      <c r="A44" s="23" t="str">
        <f>IF(2012-D44&lt;18,"Yth",IF(2012-D44&lt;21,"Jun","Sen"))</f>
        <v>Yth</v>
      </c>
      <c r="B44" s="7">
        <f>VLOOKUP(F44,Men__weight_categories,2,TRUE)</f>
        <v>62</v>
      </c>
      <c r="C44" s="26" t="s">
        <v>77</v>
      </c>
      <c r="D44" s="64">
        <v>1997</v>
      </c>
      <c r="E44" s="65" t="s">
        <v>30</v>
      </c>
      <c r="F44" s="66">
        <v>59.1</v>
      </c>
      <c r="G44" s="64">
        <v>31</v>
      </c>
      <c r="H44" s="64">
        <v>41</v>
      </c>
      <c r="I44" s="64">
        <f>SUM(G44:H44)</f>
        <v>72</v>
      </c>
      <c r="J44" s="66">
        <f>I44*IF(F44&gt;173.961,1,10^(0.784780654*LOG(F44/173.961)^2))</f>
        <v>107.11587520531694</v>
      </c>
      <c r="K44" s="68">
        <v>40809</v>
      </c>
      <c r="L44" s="26" t="s">
        <v>68</v>
      </c>
      <c r="M44" s="8">
        <f>I44/VLOOKUP(B44,Standards!$A$3:$H$12,3)</f>
        <v>0.3103448275862069</v>
      </c>
      <c r="N44" s="27">
        <f>IF(D44&gt;=1992,I44/VLOOKUP(B44,Standards!$A$3:$H$12,5),"---")</f>
        <v>0.37305699481865284</v>
      </c>
      <c r="O44" s="27">
        <f>IF(D44&gt;=1995,I44/VLOOKUP(B44,Standards!$A$3:$H$12,7),"---")</f>
        <v>0.5106382978723404</v>
      </c>
      <c r="P44" s="25" t="str">
        <f>IF((D44&gt;=1995)*AND(F44&gt;94),(I44/Standards!$G$12),"---")</f>
        <v>---</v>
      </c>
    </row>
    <row r="45" spans="1:16" ht="11.25">
      <c r="A45" s="23" t="str">
        <f>IF(2012-D45&lt;18,"Yth",IF(2012-D45&lt;21,"Jun","Sen"))</f>
        <v>Yth</v>
      </c>
      <c r="B45" s="7">
        <f>VLOOKUP(F45,Men__weight_categories,2,TRUE)</f>
        <v>50</v>
      </c>
      <c r="C45" s="26" t="s">
        <v>67</v>
      </c>
      <c r="D45" s="64">
        <v>1999</v>
      </c>
      <c r="E45" s="65" t="s">
        <v>30</v>
      </c>
      <c r="F45" s="66">
        <v>36.3</v>
      </c>
      <c r="G45" s="64">
        <v>27</v>
      </c>
      <c r="H45" s="64">
        <v>34</v>
      </c>
      <c r="I45" s="64">
        <f>SUM(G45:H45)</f>
        <v>61</v>
      </c>
      <c r="J45" s="66">
        <f>I45*IF(F45&gt;173.961,1,10^(0.784780654*LOG(F45/173.961)^2))</f>
        <v>140.86224666711712</v>
      </c>
      <c r="K45" s="67">
        <v>40809</v>
      </c>
      <c r="L45" s="26" t="s">
        <v>68</v>
      </c>
      <c r="M45" s="8">
        <f>I45/VLOOKUP(B45,Standards!$A$3:$H$12,3)</f>
        <v>0.2975609756097561</v>
      </c>
      <c r="N45" s="27">
        <f>IF(D45&gt;=1992,I45/VLOOKUP(B45,Standards!$A$3:$H$12,5),"---")</f>
        <v>0.3567251461988304</v>
      </c>
      <c r="O45" s="27">
        <f>IF(D45&gt;=1995,I45/VLOOKUP(B45,Standards!$A$3:$H$12,7),"---")</f>
        <v>0.5398230088495575</v>
      </c>
      <c r="P45" s="25" t="str">
        <f>IF((D45&gt;=1995)*AND(F45&gt;94),(I45/Standards!$G$12),"---")</f>
        <v>---</v>
      </c>
    </row>
    <row r="46" spans="1:16" ht="11.25">
      <c r="A46" s="23" t="str">
        <f>IF(2012-D46&lt;18,"Yth",IF(2012-D46&lt;21,"Jun","Sen"))</f>
        <v>Yth</v>
      </c>
      <c r="B46" s="7">
        <f>VLOOKUP(F46,Men__weight_categories,2,TRUE)</f>
        <v>50</v>
      </c>
      <c r="C46" s="26" t="s">
        <v>70</v>
      </c>
      <c r="D46" s="64">
        <v>1998</v>
      </c>
      <c r="E46" s="65" t="s">
        <v>30</v>
      </c>
      <c r="F46" s="66">
        <v>44.45</v>
      </c>
      <c r="G46" s="64">
        <v>26</v>
      </c>
      <c r="H46" s="64">
        <v>31</v>
      </c>
      <c r="I46" s="64">
        <f>SUM(G46:H46)</f>
        <v>57</v>
      </c>
      <c r="J46" s="66">
        <f>I46*IF(F46&gt;173.961,1,10^(0.784780654*LOG(F46/173.961)^2))</f>
        <v>107.51066111263498</v>
      </c>
      <c r="K46" s="67">
        <v>40809</v>
      </c>
      <c r="L46" s="26" t="s">
        <v>68</v>
      </c>
      <c r="M46" s="8">
        <f>I46/VLOOKUP(B46,Standards!$A$3:$H$12,3)</f>
        <v>0.2780487804878049</v>
      </c>
      <c r="N46" s="27">
        <f>IF(D46&gt;=1992,I46/VLOOKUP(B46,Standards!$A$3:$H$12,5),"---")</f>
        <v>0.3333333333333333</v>
      </c>
      <c r="O46" s="27">
        <f>IF(D46&gt;=1995,I46/VLOOKUP(B46,Standards!$A$3:$H$12,7),"---")</f>
        <v>0.504424778761062</v>
      </c>
      <c r="P46" s="25" t="str">
        <f>IF((D46&gt;=1995)*AND(F46&gt;94),(I46/Standards!$G$12),"---")</f>
        <v>---</v>
      </c>
    </row>
    <row r="47" spans="1:16" ht="11.25">
      <c r="A47" s="23" t="str">
        <f>IF(2012-D47&lt;18,"Yth",IF(2012-D47&lt;21,"Jun","Sen"))</f>
        <v>Yth</v>
      </c>
      <c r="B47" s="7">
        <f>VLOOKUP(F47,Men__weight_categories,2,TRUE)</f>
        <v>50</v>
      </c>
      <c r="C47" s="26" t="s">
        <v>69</v>
      </c>
      <c r="D47" s="64">
        <v>1996</v>
      </c>
      <c r="E47" s="65" t="s">
        <v>9</v>
      </c>
      <c r="F47" s="66">
        <v>36.85</v>
      </c>
      <c r="G47" s="64">
        <v>23</v>
      </c>
      <c r="H47" s="64">
        <v>33</v>
      </c>
      <c r="I47" s="64">
        <f>SUM(G47:H47)</f>
        <v>56</v>
      </c>
      <c r="J47" s="66">
        <f>I47*IF(F47&gt;173.961,1,10^(0.784780654*LOG(F47/173.961)^2))</f>
        <v>127.26538058177537</v>
      </c>
      <c r="K47" s="67">
        <v>40809</v>
      </c>
      <c r="L47" s="26" t="s">
        <v>68</v>
      </c>
      <c r="M47" s="8">
        <f>I47/VLOOKUP(B47,Standards!$A$3:$H$12,3)</f>
        <v>0.2731707317073171</v>
      </c>
      <c r="N47" s="27">
        <f>IF(D47&gt;=1992,I47/VLOOKUP(B47,Standards!$A$3:$H$12,5),"---")</f>
        <v>0.32748538011695905</v>
      </c>
      <c r="O47" s="27">
        <f>IF(D47&gt;=1995,I47/VLOOKUP(B47,Standards!$A$3:$H$12,7),"---")</f>
        <v>0.49557522123893805</v>
      </c>
      <c r="P47" s="25" t="str">
        <f>IF((D47&gt;=1995)*AND(F47&gt;94),(I47/Standards!$G$12),"---")</f>
        <v>---</v>
      </c>
    </row>
    <row r="48" spans="1:16" ht="11.25">
      <c r="A48" s="23" t="str">
        <f>IF(2012-D48&lt;18,"Yth",IF(2012-D48&lt;21,"Jun","Sen"))</f>
        <v>Yth</v>
      </c>
      <c r="B48" s="7">
        <f>VLOOKUP(F48,Men__weight_categories,2,TRUE)</f>
        <v>69</v>
      </c>
      <c r="C48" s="26" t="s">
        <v>80</v>
      </c>
      <c r="D48" s="64">
        <v>1997</v>
      </c>
      <c r="E48" s="65" t="s">
        <v>30</v>
      </c>
      <c r="F48" s="66">
        <v>62.05</v>
      </c>
      <c r="G48" s="64">
        <v>30</v>
      </c>
      <c r="H48" s="64">
        <v>35</v>
      </c>
      <c r="I48" s="64">
        <f>SUM(G48:H48)</f>
        <v>65</v>
      </c>
      <c r="J48" s="66">
        <f>I48*IF(F48&gt;173.961,1,10^(0.784780654*LOG(F48/173.961)^2))</f>
        <v>93.37233052009898</v>
      </c>
      <c r="K48" s="68">
        <v>40809</v>
      </c>
      <c r="L48" s="26" t="s">
        <v>68</v>
      </c>
      <c r="M48" s="8">
        <f>I48/VLOOKUP(B48,Standards!$A$3:$H$12,3)</f>
        <v>0.26422764227642276</v>
      </c>
      <c r="N48" s="27">
        <f>IF(D48&gt;=1992,I48/VLOOKUP(B48,Standards!$A$3:$H$12,5),"---")</f>
        <v>0.3170731707317073</v>
      </c>
      <c r="O48" s="27">
        <f>IF(D48&gt;=1995,I48/VLOOKUP(B48,Standards!$A$3:$H$12,7),"---")</f>
        <v>0.43333333333333335</v>
      </c>
      <c r="P48" s="25" t="str">
        <f>IF((D48&gt;=1995)*AND(F48&gt;94),(I48/Standards!$G$12),"---")</f>
        <v>---</v>
      </c>
    </row>
    <row r="49" spans="1:16" ht="11.25">
      <c r="A49" s="23" t="str">
        <f>IF(2012-D49&lt;18,"Yth",IF(2012-D49&lt;21,"Jun","Sen"))</f>
        <v>Yth</v>
      </c>
      <c r="B49" s="7">
        <f>VLOOKUP(F49,Men__weight_categories,2,TRUE)</f>
        <v>77</v>
      </c>
      <c r="C49" s="26" t="s">
        <v>83</v>
      </c>
      <c r="D49" s="64">
        <v>1998</v>
      </c>
      <c r="E49" s="65" t="s">
        <v>30</v>
      </c>
      <c r="F49" s="66">
        <v>70.65</v>
      </c>
      <c r="G49" s="64">
        <v>30</v>
      </c>
      <c r="H49" s="64">
        <v>37</v>
      </c>
      <c r="I49" s="64">
        <f>SUM(G49:H49)</f>
        <v>67</v>
      </c>
      <c r="J49" s="66">
        <f>I49*IF(F49&gt;173.961,1,10^(0.784780654*LOG(F49/173.961)^2))</f>
        <v>88.36116552949167</v>
      </c>
      <c r="K49" s="68">
        <v>40809</v>
      </c>
      <c r="L49" s="26" t="s">
        <v>68</v>
      </c>
      <c r="M49" s="8">
        <f>I49/VLOOKUP(B49,Standards!$A$3:$H$12,3)</f>
        <v>0.24363636363636362</v>
      </c>
      <c r="N49" s="27">
        <f>IF(D49&gt;=1992,I49/VLOOKUP(B49,Standards!$A$3:$H$12,5),"---")</f>
        <v>0.2925764192139738</v>
      </c>
      <c r="O49" s="27">
        <f>IF(D49&gt;=1995,I49/VLOOKUP(B49,Standards!$A$3:$H$12,7),"---")</f>
        <v>0.39880952380952384</v>
      </c>
      <c r="P49" s="25" t="str">
        <f>IF((D49&gt;=1995)*AND(F49&gt;94),(I49/Standards!$G$12),"---")</f>
        <v>---</v>
      </c>
    </row>
    <row r="50" spans="1:16" ht="11.25">
      <c r="A50" s="23" t="str">
        <f>IF(2012-D50&lt;18,"Yth",IF(2012-D50&lt;21,"Jun","Sen"))</f>
        <v>Yth</v>
      </c>
      <c r="B50" s="7">
        <f>VLOOKUP(F50,Men__weight_categories,2,TRUE)</f>
        <v>94</v>
      </c>
      <c r="C50" s="26" t="s">
        <v>88</v>
      </c>
      <c r="D50" s="64">
        <v>1997</v>
      </c>
      <c r="E50" s="65" t="s">
        <v>30</v>
      </c>
      <c r="F50" s="66">
        <v>87.1</v>
      </c>
      <c r="G50" s="64">
        <v>34</v>
      </c>
      <c r="H50" s="64">
        <v>39</v>
      </c>
      <c r="I50" s="64">
        <f>SUM(G50:H50)</f>
        <v>73</v>
      </c>
      <c r="J50" s="66">
        <f>I50*IF(F50&gt;173.961,1,10^(0.784780654*LOG(F50/173.961)^2))</f>
        <v>85.93251079958875</v>
      </c>
      <c r="K50" s="68">
        <v>40809</v>
      </c>
      <c r="L50" s="26" t="s">
        <v>68</v>
      </c>
      <c r="M50" s="8">
        <f>I50/VLOOKUP(B50,Standards!$A$3:$H$12,3)</f>
        <v>0.24013157894736842</v>
      </c>
      <c r="N50" s="27">
        <f>IF(D50&gt;=1992,I50/VLOOKUP(B50,Standards!$A$3:$H$12,5),"---")</f>
        <v>0.2885375494071146</v>
      </c>
      <c r="O50" s="27">
        <f>IF(D50&gt;=1995,I50/VLOOKUP(B50,Standards!$A$3:$H$12,7),"---")</f>
        <v>0.3945945945945946</v>
      </c>
      <c r="P50" s="25" t="str">
        <f>IF((D50&gt;=1995)*AND(F50&gt;94),(I50/Standards!$G$12),"---")</f>
        <v>---</v>
      </c>
    </row>
    <row r="51" spans="1:16" ht="11.25">
      <c r="A51" s="23" t="str">
        <f>IF(2012-D51&lt;18,"Yth",IF(2012-D51&lt;21,"Jun","Sen"))</f>
        <v>Yth</v>
      </c>
      <c r="B51" s="7">
        <f>VLOOKUP(F51,Men__weight_categories,2,TRUE)</f>
        <v>50</v>
      </c>
      <c r="C51" s="26" t="s">
        <v>71</v>
      </c>
      <c r="D51" s="64">
        <v>1998</v>
      </c>
      <c r="E51" s="65" t="s">
        <v>30</v>
      </c>
      <c r="F51" s="66">
        <v>42.2</v>
      </c>
      <c r="G51" s="64">
        <v>18</v>
      </c>
      <c r="H51" s="64">
        <v>25</v>
      </c>
      <c r="I51" s="64">
        <f>SUM(G51:H51)</f>
        <v>43</v>
      </c>
      <c r="J51" s="66">
        <f>I51*IF(F51&gt;173.961,1,10^(0.784780654*LOG(F51/173.961)^2))</f>
        <v>85.19747754963399</v>
      </c>
      <c r="K51" s="67">
        <v>40809</v>
      </c>
      <c r="L51" s="26" t="s">
        <v>68</v>
      </c>
      <c r="M51" s="8">
        <f>I51/VLOOKUP(B51,Standards!$A$3:$H$12,3)</f>
        <v>0.2097560975609756</v>
      </c>
      <c r="N51" s="27">
        <f>IF(D51&gt;=1992,I51/VLOOKUP(B51,Standards!$A$3:$H$12,5),"---")</f>
        <v>0.25146198830409355</v>
      </c>
      <c r="O51" s="27">
        <f>IF(D51&gt;=1995,I51/VLOOKUP(B51,Standards!$A$3:$H$12,7),"---")</f>
        <v>0.3805309734513274</v>
      </c>
      <c r="P51" s="25" t="str">
        <f>IF((D51&gt;=1995)*AND(F51&gt;94),(I51/Standards!$G$12),"---")</f>
        <v>---</v>
      </c>
    </row>
    <row r="52" spans="1:16" ht="11.25">
      <c r="A52" s="23" t="str">
        <f>IF(2012-D52&lt;18,"Yth",IF(2012-D52&lt;21,"Jun","Sen"))</f>
        <v>Sen</v>
      </c>
      <c r="B52" s="7">
        <f>VLOOKUP(F52,Men__weight_categories,2,TRUE)</f>
        <v>50</v>
      </c>
      <c r="C52" s="49"/>
      <c r="D52" s="50"/>
      <c r="E52" s="50"/>
      <c r="F52" s="57"/>
      <c r="G52" s="53"/>
      <c r="H52" s="53"/>
      <c r="I52" s="42"/>
      <c r="J52" s="40"/>
      <c r="K52" s="48"/>
      <c r="M52" s="8">
        <f>I52/VLOOKUP(B52,Standards!$A$3:$H$12,3)</f>
        <v>0</v>
      </c>
      <c r="N52" s="27" t="str">
        <f>IF(D52&gt;=1992,I52/VLOOKUP(B52,Standards!$A$3:$H$12,5),"---")</f>
        <v>---</v>
      </c>
      <c r="O52" s="27" t="str">
        <f>IF(D52&gt;=1995,I52/VLOOKUP(B52,Standards!$A$3:$H$12,7),"---")</f>
        <v>---</v>
      </c>
      <c r="P52" s="25" t="str">
        <f>IF((D52&gt;=1995)*AND(F52&gt;94),(I52/Standards!$G$12),"---")</f>
        <v>---</v>
      </c>
    </row>
    <row r="53" spans="1:16" ht="11.25">
      <c r="A53" s="23" t="str">
        <f>IF(2012-D53&lt;18,"Yth",IF(2012-D53&lt;21,"Jun","Sen"))</f>
        <v>Sen</v>
      </c>
      <c r="B53" s="7">
        <f>VLOOKUP(F53,Men__weight_categories,2,TRUE)</f>
        <v>50</v>
      </c>
      <c r="C53" s="34"/>
      <c r="D53" s="35"/>
      <c r="E53" s="36"/>
      <c r="F53" s="41"/>
      <c r="G53" s="37"/>
      <c r="H53" s="37"/>
      <c r="I53" s="42"/>
      <c r="J53" s="40"/>
      <c r="K53" s="32"/>
      <c r="L53" s="33"/>
      <c r="M53" s="8">
        <f>I53/VLOOKUP(B53,Standards!$A$3:$H$12,3)</f>
        <v>0</v>
      </c>
      <c r="N53" s="27" t="str">
        <f>IF(D53&gt;=1992,I53/VLOOKUP(B53,Standards!$A$3:$H$12,5),"---")</f>
        <v>---</v>
      </c>
      <c r="O53" s="27" t="str">
        <f>IF(D53&gt;=1995,I53/VLOOKUP(B53,Standards!$A$3:$H$12,7),"---")</f>
        <v>---</v>
      </c>
      <c r="P53" s="25" t="str">
        <f>IF((D53&gt;=1995)*AND(F53&gt;94),(I53/Standards!$G$12),"---")</f>
        <v>---</v>
      </c>
    </row>
    <row r="54" spans="1:16" ht="11.25">
      <c r="A54" s="23" t="str">
        <f>IF(2012-D54&lt;18,"Yth",IF(2012-D54&lt;21,"Jun","Sen"))</f>
        <v>Sen</v>
      </c>
      <c r="B54" s="7">
        <f>VLOOKUP(F54,Men__weight_categories,2,TRUE)</f>
        <v>50</v>
      </c>
      <c r="C54" s="33"/>
      <c r="D54" s="42"/>
      <c r="E54" s="30"/>
      <c r="F54" s="40"/>
      <c r="G54" s="42"/>
      <c r="H54" s="42"/>
      <c r="I54" s="42"/>
      <c r="J54" s="40"/>
      <c r="K54" s="44"/>
      <c r="L54" s="33"/>
      <c r="M54" s="8">
        <f>I54/VLOOKUP(B54,Standards!$A$3:$H$12,3)</f>
        <v>0</v>
      </c>
      <c r="N54" s="27" t="str">
        <f>IF(D54&gt;=1992,I54/VLOOKUP(B54,Standards!$A$3:$H$12,5),"---")</f>
        <v>---</v>
      </c>
      <c r="O54" s="27" t="str">
        <f>IF(D54&gt;=1995,I54/VLOOKUP(B54,Standards!$A$3:$H$12,7),"---")</f>
        <v>---</v>
      </c>
      <c r="P54" s="25" t="str">
        <f>IF((D54&gt;=1995)*AND(F54&gt;94),(I54/Standards!$G$12),"---")</f>
        <v>---</v>
      </c>
    </row>
    <row r="55" spans="1:16" ht="11.25">
      <c r="A55" s="23" t="str">
        <f>IF(2012-D55&lt;18,"Yth",IF(2012-D55&lt;21,"Jun","Sen"))</f>
        <v>Sen</v>
      </c>
      <c r="B55" s="7">
        <f>VLOOKUP(F55,Men__weight_categories,2,TRUE)</f>
        <v>50</v>
      </c>
      <c r="C55" s="33"/>
      <c r="D55" s="33"/>
      <c r="E55" s="33"/>
      <c r="F55" s="40"/>
      <c r="G55" s="30"/>
      <c r="H55" s="30"/>
      <c r="I55" s="42"/>
      <c r="J55" s="40"/>
      <c r="K55" s="32"/>
      <c r="L55" s="33"/>
      <c r="M55" s="8">
        <f>I55/VLOOKUP(B55,Standards!$A$3:$H$12,3)</f>
        <v>0</v>
      </c>
      <c r="N55" s="27" t="str">
        <f>IF(D55&gt;=1992,I55/VLOOKUP(B55,Standards!$A$3:$H$12,5),"---")</f>
        <v>---</v>
      </c>
      <c r="O55" s="27" t="str">
        <f>IF(D55&gt;=1995,I55/VLOOKUP(B55,Standards!$A$3:$H$12,7),"---")</f>
        <v>---</v>
      </c>
      <c r="P55" s="25" t="str">
        <f>IF((D55&gt;=1995)*AND(F55&gt;94),(I55/Standards!$G$12),"---")</f>
        <v>---</v>
      </c>
    </row>
    <row r="56" spans="1:16" ht="11.25">
      <c r="A56" s="23" t="str">
        <f>IF(2012-D56&lt;18,"Yth",IF(2012-D56&lt;21,"Jun","Sen"))</f>
        <v>Sen</v>
      </c>
      <c r="B56" s="7">
        <f>VLOOKUP(F56,Men__weight_categories,2,TRUE)</f>
        <v>50</v>
      </c>
      <c r="C56" s="49"/>
      <c r="D56" s="50"/>
      <c r="E56" s="50"/>
      <c r="F56" s="51"/>
      <c r="G56" s="53"/>
      <c r="H56" s="53"/>
      <c r="I56" s="42"/>
      <c r="J56" s="40"/>
      <c r="K56" s="48"/>
      <c r="M56" s="8">
        <f>I56/VLOOKUP(B56,Standards!$A$3:$H$12,3)</f>
        <v>0</v>
      </c>
      <c r="N56" s="27" t="str">
        <f>IF(D56&gt;=1992,I56/VLOOKUP(B56,Standards!$A$3:$H$12,5),"---")</f>
        <v>---</v>
      </c>
      <c r="O56" s="27" t="str">
        <f>IF(D56&gt;=1995,I56/VLOOKUP(B56,Standards!$A$3:$H$12,7),"---")</f>
        <v>---</v>
      </c>
      <c r="P56" s="25" t="str">
        <f>IF((D56&gt;=1995)*AND(F56&gt;94),(I56/Standards!$G$12),"---")</f>
        <v>---</v>
      </c>
    </row>
    <row r="57" spans="1:16" ht="11.25">
      <c r="A57" s="23" t="str">
        <f>IF(2012-D57&lt;18,"Yth",IF(2012-D57&lt;21,"Jun","Sen"))</f>
        <v>Sen</v>
      </c>
      <c r="B57" s="7">
        <f>VLOOKUP(F57,Men__weight_categories,2,TRUE)</f>
        <v>50</v>
      </c>
      <c r="C57" s="49"/>
      <c r="D57" s="50"/>
      <c r="E57" s="50"/>
      <c r="F57" s="51"/>
      <c r="G57" s="53"/>
      <c r="H57" s="53"/>
      <c r="I57" s="42"/>
      <c r="J57" s="40"/>
      <c r="K57" s="48"/>
      <c r="M57" s="8">
        <f>I57/VLOOKUP(B57,Standards!$A$3:$H$12,3)</f>
        <v>0</v>
      </c>
      <c r="N57" s="27" t="str">
        <f>IF(D57&gt;=1992,I57/VLOOKUP(B57,Standards!$A$3:$H$12,5),"---")</f>
        <v>---</v>
      </c>
      <c r="O57" s="27" t="str">
        <f>IF(D57&gt;=1995,I57/VLOOKUP(B57,Standards!$A$3:$H$12,7),"---")</f>
        <v>---</v>
      </c>
      <c r="P57" s="25" t="str">
        <f>IF((D57&gt;=1995)*AND(F57&gt;94),(I57/Standards!$G$12),"---")</f>
        <v>---</v>
      </c>
    </row>
    <row r="58" spans="1:16" ht="11.25">
      <c r="A58" s="23" t="str">
        <f>IF(2012-D58&lt;18,"Yth",IF(2012-D58&lt;21,"Jun","Sen"))</f>
        <v>Sen</v>
      </c>
      <c r="B58" s="7">
        <f>VLOOKUP(F58,Men__weight_categories,2,TRUE)</f>
        <v>50</v>
      </c>
      <c r="C58" s="49"/>
      <c r="D58" s="50"/>
      <c r="E58" s="50"/>
      <c r="F58" s="57"/>
      <c r="G58" s="53"/>
      <c r="H58" s="53"/>
      <c r="I58" s="42"/>
      <c r="J58" s="40"/>
      <c r="K58" s="48"/>
      <c r="M58" s="8">
        <f>I58/VLOOKUP(B58,Standards!$A$3:$H$12,3)</f>
        <v>0</v>
      </c>
      <c r="N58" s="27" t="str">
        <f>IF(D58&gt;=1992,I58/VLOOKUP(B58,Standards!$A$3:$H$12,5),"---")</f>
        <v>---</v>
      </c>
      <c r="O58" s="27" t="str">
        <f>IF(D58&gt;=1995,I58/VLOOKUP(B58,Standards!$A$3:$H$12,7),"---")</f>
        <v>---</v>
      </c>
      <c r="P58" s="25" t="str">
        <f>IF((D58&gt;=1995)*AND(F58&gt;94),(I58/Standards!$G$12),"---")</f>
        <v>---</v>
      </c>
    </row>
    <row r="59" spans="1:16" ht="11.25">
      <c r="A59" s="23" t="str">
        <f>IF(2012-D59&lt;18,"Yth",IF(2012-D59&lt;21,"Jun","Sen"))</f>
        <v>Sen</v>
      </c>
      <c r="B59" s="7">
        <f>VLOOKUP(F59,Men__weight_categories,2,TRUE)</f>
        <v>50</v>
      </c>
      <c r="C59" s="33"/>
      <c r="D59" s="33"/>
      <c r="E59" s="33"/>
      <c r="F59" s="40"/>
      <c r="G59" s="30"/>
      <c r="H59" s="30"/>
      <c r="I59" s="42"/>
      <c r="J59" s="40"/>
      <c r="K59" s="32"/>
      <c r="L59" s="33"/>
      <c r="M59" s="8">
        <f>I59/VLOOKUP(B59,Standards!$A$3:$H$12,3)</f>
        <v>0</v>
      </c>
      <c r="N59" s="27" t="str">
        <f>IF(D59&gt;=1992,I59/VLOOKUP(B59,Standards!$A$3:$H$12,5),"---")</f>
        <v>---</v>
      </c>
      <c r="O59" s="27" t="str">
        <f>IF(D59&gt;=1995,I59/VLOOKUP(B59,Standards!$A$3:$H$12,7),"---")</f>
        <v>---</v>
      </c>
      <c r="P59" s="25" t="str">
        <f>IF((D59&gt;=1995)*AND(F59&gt;94),(I59/Standards!$G$12),"---")</f>
        <v>---</v>
      </c>
    </row>
    <row r="60" spans="1:16" ht="11.25">
      <c r="A60" s="23" t="str">
        <f>IF(2012-D60&lt;18,"Yth",IF(2012-D60&lt;21,"Jun","Sen"))</f>
        <v>Sen</v>
      </c>
      <c r="B60" s="7">
        <f>VLOOKUP(F60,Men__weight_categories,2,TRUE)</f>
        <v>50</v>
      </c>
      <c r="C60" s="33"/>
      <c r="D60" s="33"/>
      <c r="E60" s="33"/>
      <c r="F60" s="40"/>
      <c r="G60" s="30"/>
      <c r="H60" s="30"/>
      <c r="I60" s="42"/>
      <c r="J60" s="40"/>
      <c r="K60" s="32"/>
      <c r="L60" s="33"/>
      <c r="M60" s="8">
        <f>I60/VLOOKUP(B60,Standards!$A$3:$H$12,3)</f>
        <v>0</v>
      </c>
      <c r="N60" s="27" t="str">
        <f>IF(D60&gt;=1992,I60/VLOOKUP(B60,Standards!$A$3:$H$12,5),"---")</f>
        <v>---</v>
      </c>
      <c r="O60" s="27" t="str">
        <f>IF(D60&gt;=1995,I60/VLOOKUP(B60,Standards!$A$3:$H$12,7),"---")</f>
        <v>---</v>
      </c>
      <c r="P60" s="25" t="str">
        <f>IF((D60&gt;=1995)*AND(F60&gt;94),(I60/Standards!$G$12),"---")</f>
        <v>---</v>
      </c>
    </row>
    <row r="61" spans="1:16" ht="11.25">
      <c r="A61" s="23" t="str">
        <f>IF(2012-D61&lt;18,"Yth",IF(2012-D61&lt;21,"Jun","Sen"))</f>
        <v>Sen</v>
      </c>
      <c r="B61" s="7">
        <f>VLOOKUP(F61,Men__weight_categories,2,TRUE)</f>
        <v>50</v>
      </c>
      <c r="C61" s="52"/>
      <c r="D61" s="50"/>
      <c r="E61" s="50"/>
      <c r="F61" s="57"/>
      <c r="G61" s="53"/>
      <c r="H61" s="53"/>
      <c r="I61" s="42"/>
      <c r="J61" s="40"/>
      <c r="K61" s="48"/>
      <c r="M61" s="8">
        <f>I61/VLOOKUP(B61,Standards!$A$3:$H$12,3)</f>
        <v>0</v>
      </c>
      <c r="N61" s="27" t="str">
        <f>IF(D61&gt;=1992,I61/VLOOKUP(B61,Standards!$A$3:$H$12,5),"---")</f>
        <v>---</v>
      </c>
      <c r="O61" s="27" t="str">
        <f>IF(D61&gt;=1995,I61/VLOOKUP(B61,Standards!$A$3:$H$12,7),"---")</f>
        <v>---</v>
      </c>
      <c r="P61" s="25" t="str">
        <f>IF((D61&gt;=1995)*AND(F61&gt;94),(I61/Standards!$G$12),"---")</f>
        <v>---</v>
      </c>
    </row>
    <row r="62" spans="1:16" ht="11.25">
      <c r="A62" s="23" t="str">
        <f>IF(2012-D62&lt;18,"Yth",IF(2012-D62&lt;21,"Jun","Sen"))</f>
        <v>Sen</v>
      </c>
      <c r="B62" s="7">
        <f>VLOOKUP(F62,Men__weight_categories,2,TRUE)</f>
        <v>50</v>
      </c>
      <c r="C62" s="33"/>
      <c r="D62" s="33"/>
      <c r="E62" s="33"/>
      <c r="F62" s="40"/>
      <c r="G62" s="30"/>
      <c r="H62" s="30"/>
      <c r="I62" s="42"/>
      <c r="J62" s="40"/>
      <c r="K62" s="32"/>
      <c r="L62" s="33"/>
      <c r="M62" s="8">
        <f>I62/VLOOKUP(B62,Standards!$A$3:$H$12,3)</f>
        <v>0</v>
      </c>
      <c r="N62" s="27" t="str">
        <f>IF(D62&gt;=1992,I62/VLOOKUP(B62,Standards!$A$3:$H$12,5),"---")</f>
        <v>---</v>
      </c>
      <c r="O62" s="27" t="str">
        <f>IF(D62&gt;=1995,I62/VLOOKUP(B62,Standards!$A$3:$H$12,7),"---")</f>
        <v>---</v>
      </c>
      <c r="P62" s="25" t="str">
        <f>IF((D62&gt;=1995)*AND(F62&gt;94),(I62/Standards!$G$12),"---")</f>
        <v>---</v>
      </c>
    </row>
    <row r="63" spans="1:16" ht="11.25">
      <c r="A63" s="23" t="str">
        <f>IF(2012-D63&lt;18,"Yth",IF(2012-D63&lt;21,"Jun","Sen"))</f>
        <v>Sen</v>
      </c>
      <c r="B63" s="7">
        <f>VLOOKUP(F63,Men__weight_categories,2,TRUE)</f>
        <v>50</v>
      </c>
      <c r="C63" s="49"/>
      <c r="D63" s="50"/>
      <c r="E63" s="50"/>
      <c r="F63" s="57"/>
      <c r="G63" s="53"/>
      <c r="H63" s="53"/>
      <c r="I63" s="42"/>
      <c r="J63" s="40"/>
      <c r="K63" s="48"/>
      <c r="M63" s="8">
        <f>I63/VLOOKUP(B63,Standards!$A$3:$H$12,3)</f>
        <v>0</v>
      </c>
      <c r="N63" s="27" t="str">
        <f>IF(D63&gt;=1992,I63/VLOOKUP(B63,Standards!$A$3:$H$12,5),"---")</f>
        <v>---</v>
      </c>
      <c r="O63" s="27" t="str">
        <f>IF(D63&gt;=1995,I63/VLOOKUP(B63,Standards!$A$3:$H$12,7),"---")</f>
        <v>---</v>
      </c>
      <c r="P63" s="25" t="str">
        <f>IF((D63&gt;=1995)*AND(F63&gt;94),(I63/Standards!$G$12),"---")</f>
        <v>---</v>
      </c>
    </row>
    <row r="64" spans="1:16" ht="11.25">
      <c r="A64" s="23" t="str">
        <f>IF(2012-D64&lt;18,"Yth",IF(2012-D64&lt;21,"Jun","Sen"))</f>
        <v>Sen</v>
      </c>
      <c r="B64" s="7">
        <f>VLOOKUP(F64,Men__weight_categories,2,TRUE)</f>
        <v>50</v>
      </c>
      <c r="I64" s="42"/>
      <c r="J64" s="40"/>
      <c r="K64" s="48"/>
      <c r="M64" s="8">
        <f>I64/VLOOKUP(B64,Standards!$A$3:$H$12,3)</f>
        <v>0</v>
      </c>
      <c r="N64" s="27" t="str">
        <f>IF(D64&gt;=1992,I64/VLOOKUP(B64,Standards!$A$3:$H$12,5),"---")</f>
        <v>---</v>
      </c>
      <c r="O64" s="27" t="str">
        <f>IF(D64&gt;=1995,I64/VLOOKUP(B64,Standards!$A$3:$H$12,7),"---")</f>
        <v>---</v>
      </c>
      <c r="P64" s="25" t="str">
        <f>IF((D64&gt;=1995)*AND(F64&gt;94),(I64/Standards!$G$12),"---")</f>
        <v>---</v>
      </c>
    </row>
    <row r="65" spans="1:16" ht="11.25">
      <c r="A65" s="23" t="str">
        <f>IF(2012-D65&lt;18,"Yth",IF(2012-D65&lt;21,"Jun","Sen"))</f>
        <v>Sen</v>
      </c>
      <c r="B65" s="7">
        <f>VLOOKUP(F65,Men__weight_categories,2,TRUE)</f>
        <v>50</v>
      </c>
      <c r="C65" s="49"/>
      <c r="D65" s="50"/>
      <c r="E65" s="50"/>
      <c r="F65" s="51"/>
      <c r="G65" s="54"/>
      <c r="H65" s="54"/>
      <c r="I65" s="42"/>
      <c r="J65" s="40"/>
      <c r="K65" s="48"/>
      <c r="M65" s="8">
        <f>I65/VLOOKUP(B65,Standards!$A$3:$H$12,3)</f>
        <v>0</v>
      </c>
      <c r="N65" s="27" t="str">
        <f>IF(D65&gt;=1992,I65/VLOOKUP(B65,Standards!$A$3:$H$12,5),"---")</f>
        <v>---</v>
      </c>
      <c r="O65" s="27" t="str">
        <f>IF(D65&gt;=1995,I65/VLOOKUP(B65,Standards!$A$3:$H$12,7),"---")</f>
        <v>---</v>
      </c>
      <c r="P65" s="25" t="str">
        <f>IF((D65&gt;=1995)*AND(F65&gt;94),(I65/Standards!$G$12),"---")</f>
        <v>---</v>
      </c>
    </row>
    <row r="66" spans="1:16" ht="11.25">
      <c r="A66" s="23" t="str">
        <f>IF(2012-D66&lt;18,"Yth",IF(2012-D66&lt;21,"Jun","Sen"))</f>
        <v>Sen</v>
      </c>
      <c r="B66" s="7">
        <f>VLOOKUP(F66,Men__weight_categories,2,TRUE)</f>
        <v>50</v>
      </c>
      <c r="C66" s="49"/>
      <c r="D66" s="50"/>
      <c r="E66" s="50"/>
      <c r="F66" s="51"/>
      <c r="G66" s="53"/>
      <c r="H66" s="53"/>
      <c r="I66" s="42"/>
      <c r="J66" s="40"/>
      <c r="K66" s="48"/>
      <c r="M66" s="8">
        <f>I66/VLOOKUP(B66,Standards!$A$3:$H$12,3)</f>
        <v>0</v>
      </c>
      <c r="N66" s="27" t="str">
        <f>IF(D66&gt;=1992,I66/VLOOKUP(B66,Standards!$A$3:$H$12,5),"---")</f>
        <v>---</v>
      </c>
      <c r="O66" s="27" t="str">
        <f>IF(D66&gt;=1995,I66/VLOOKUP(B66,Standards!$A$3:$H$12,7),"---")</f>
        <v>---</v>
      </c>
      <c r="P66" s="25" t="str">
        <f>IF((D66&gt;=1995)*AND(F66&gt;94),(I66/Standards!$G$12),"---")</f>
        <v>---</v>
      </c>
    </row>
    <row r="67" spans="1:16" ht="11.25">
      <c r="A67" s="23" t="str">
        <f>IF(2012-D67&lt;18,"Yth",IF(2012-D67&lt;21,"Jun","Sen"))</f>
        <v>Sen</v>
      </c>
      <c r="B67" s="7">
        <f>VLOOKUP(F67,Men__weight_categories,2,TRUE)</f>
        <v>50</v>
      </c>
      <c r="C67" s="33"/>
      <c r="D67" s="33"/>
      <c r="E67" s="33"/>
      <c r="F67" s="40"/>
      <c r="G67" s="30"/>
      <c r="H67" s="30"/>
      <c r="I67" s="42"/>
      <c r="J67" s="40"/>
      <c r="K67" s="32"/>
      <c r="L67" s="33"/>
      <c r="M67" s="8">
        <f>I67/VLOOKUP(B67,Standards!$A$3:$H$12,3)</f>
        <v>0</v>
      </c>
      <c r="N67" s="27" t="str">
        <f>IF(D67&gt;=1992,I67/VLOOKUP(B67,Standards!$A$3:$H$12,5),"---")</f>
        <v>---</v>
      </c>
      <c r="O67" s="27" t="str">
        <f>IF(D67&gt;=1995,I67/VLOOKUP(B67,Standards!$A$3:$H$12,7),"---")</f>
        <v>---</v>
      </c>
      <c r="P67" s="25" t="str">
        <f>IF((D67&gt;=1995)*AND(F67&gt;94),(I67/Standards!$G$12),"---")</f>
        <v>---</v>
      </c>
    </row>
    <row r="68" spans="1:16" ht="11.25">
      <c r="A68" s="23" t="str">
        <f>IF(2012-D68&lt;18,"Yth",IF(2012-D68&lt;21,"Jun","Sen"))</f>
        <v>Sen</v>
      </c>
      <c r="B68" s="7">
        <f>VLOOKUP(F68,Men__weight_categories,2,TRUE)</f>
        <v>50</v>
      </c>
      <c r="C68" s="49"/>
      <c r="D68" s="50"/>
      <c r="E68" s="50"/>
      <c r="F68" s="57"/>
      <c r="G68" s="53"/>
      <c r="H68" s="53"/>
      <c r="I68" s="42"/>
      <c r="J68" s="40"/>
      <c r="K68" s="48"/>
      <c r="M68" s="8">
        <f>I68/VLOOKUP(B68,Standards!$A$3:$H$12,3)</f>
        <v>0</v>
      </c>
      <c r="N68" s="27" t="str">
        <f>IF(D68&gt;=1992,I68/VLOOKUP(B68,Standards!$A$3:$H$12,5),"---")</f>
        <v>---</v>
      </c>
      <c r="O68" s="27" t="str">
        <f>IF(D68&gt;=1995,I68/VLOOKUP(B68,Standards!$A$3:$H$12,7),"---")</f>
        <v>---</v>
      </c>
      <c r="P68" s="25" t="str">
        <f>IF((D68&gt;=1995)*AND(F68&gt;94),(I68/Standards!$G$12),"---")</f>
        <v>---</v>
      </c>
    </row>
    <row r="69" spans="1:16" ht="11.25">
      <c r="A69" s="23" t="str">
        <f>IF(2012-D69&lt;18,"Yth",IF(2012-D69&lt;21,"Jun","Sen"))</f>
        <v>Sen</v>
      </c>
      <c r="B69" s="7">
        <f>VLOOKUP(F69,Men__weight_categories,2,TRUE)</f>
        <v>50</v>
      </c>
      <c r="C69" s="49"/>
      <c r="D69" s="50"/>
      <c r="E69" s="50"/>
      <c r="F69" s="57"/>
      <c r="G69" s="53"/>
      <c r="H69" s="53"/>
      <c r="I69" s="42"/>
      <c r="J69" s="40"/>
      <c r="K69" s="48"/>
      <c r="M69" s="8">
        <f>I69/VLOOKUP(B69,Standards!$A$3:$H$12,3)</f>
        <v>0</v>
      </c>
      <c r="N69" s="27" t="str">
        <f>IF(D69&gt;=1992,I69/VLOOKUP(B69,Standards!$A$3:$H$12,5),"---")</f>
        <v>---</v>
      </c>
      <c r="O69" s="27" t="str">
        <f>IF(D69&gt;=1995,I69/VLOOKUP(B69,Standards!$A$3:$H$12,7),"---")</f>
        <v>---</v>
      </c>
      <c r="P69" s="25" t="str">
        <f>IF((D69&gt;=1995)*AND(F69&gt;94),(I69/Standards!$G$12),"---")</f>
        <v>---</v>
      </c>
    </row>
    <row r="70" spans="1:16" ht="11.25">
      <c r="A70" s="23" t="str">
        <f>IF(2012-D70&lt;18,"Yth",IF(2012-D70&lt;21,"Jun","Sen"))</f>
        <v>Sen</v>
      </c>
      <c r="B70" s="7">
        <f>VLOOKUP(F70,Men__weight_categories,2,TRUE)</f>
        <v>50</v>
      </c>
      <c r="C70" s="49"/>
      <c r="D70" s="50"/>
      <c r="E70" s="50"/>
      <c r="F70" s="57"/>
      <c r="G70" s="53"/>
      <c r="H70" s="53"/>
      <c r="I70" s="42"/>
      <c r="J70" s="40"/>
      <c r="K70" s="48"/>
      <c r="M70" s="8">
        <f>I70/VLOOKUP(B70,Standards!$A$3:$H$12,3)</f>
        <v>0</v>
      </c>
      <c r="N70" s="27" t="str">
        <f>IF(D70&gt;=1992,I70/VLOOKUP(B70,Standards!$A$3:$H$12,5),"---")</f>
        <v>---</v>
      </c>
      <c r="O70" s="27" t="str">
        <f>IF(D70&gt;=1995,I70/VLOOKUP(B70,Standards!$A$3:$H$12,7),"---")</f>
        <v>---</v>
      </c>
      <c r="P70" s="25" t="str">
        <f>IF((D70&gt;=1995)*AND(F70&gt;94),(I70/Standards!$G$12),"---")</f>
        <v>---</v>
      </c>
    </row>
    <row r="71" spans="1:16" ht="11.25">
      <c r="A71" s="23" t="str">
        <f>IF(2012-D71&lt;18,"Yth",IF(2012-D71&lt;21,"Jun","Sen"))</f>
        <v>Sen</v>
      </c>
      <c r="B71" s="7">
        <f>VLOOKUP(F71,Men__weight_categories,2,TRUE)</f>
        <v>50</v>
      </c>
      <c r="C71" s="33"/>
      <c r="D71" s="33"/>
      <c r="E71" s="33"/>
      <c r="F71" s="40"/>
      <c r="G71" s="30"/>
      <c r="H71" s="30"/>
      <c r="I71" s="42"/>
      <c r="J71" s="40"/>
      <c r="K71" s="32"/>
      <c r="L71" s="33"/>
      <c r="M71" s="8">
        <f>I71/VLOOKUP(B71,Standards!$A$3:$H$12,3)</f>
        <v>0</v>
      </c>
      <c r="N71" s="27" t="str">
        <f>IF(D71&gt;=1992,I71/VLOOKUP(B71,Standards!$A$3:$H$12,5),"---")</f>
        <v>---</v>
      </c>
      <c r="O71" s="27" t="str">
        <f>IF(D71&gt;=1995,I71/VLOOKUP(B71,Standards!$A$3:$H$12,7),"---")</f>
        <v>---</v>
      </c>
      <c r="P71" s="25" t="str">
        <f>IF((D71&gt;=1995)*AND(F71&gt;94),(I71/Standards!$G$12),"---")</f>
        <v>---</v>
      </c>
    </row>
    <row r="72" spans="1:16" ht="11.25">
      <c r="A72" s="23" t="str">
        <f>IF(2012-D72&lt;18,"Yth",IF(2012-D72&lt;21,"Jun","Sen"))</f>
        <v>Sen</v>
      </c>
      <c r="B72" s="7">
        <f>VLOOKUP(F72,Men__weight_categories,2,TRUE)</f>
        <v>50</v>
      </c>
      <c r="C72" s="49"/>
      <c r="D72" s="50"/>
      <c r="E72" s="50"/>
      <c r="F72" s="51"/>
      <c r="G72" s="53"/>
      <c r="H72" s="53"/>
      <c r="I72" s="42"/>
      <c r="J72" s="40"/>
      <c r="K72" s="48"/>
      <c r="M72" s="8">
        <f>I72/VLOOKUP(B72,Standards!$A$3:$H$12,3)</f>
        <v>0</v>
      </c>
      <c r="N72" s="27" t="str">
        <f>IF(D72&gt;=1992,I72/VLOOKUP(B72,Standards!$A$3:$H$12,5),"---")</f>
        <v>---</v>
      </c>
      <c r="O72" s="27" t="str">
        <f>IF(D72&gt;=1995,I72/VLOOKUP(B72,Standards!$A$3:$H$12,7),"---")</f>
        <v>---</v>
      </c>
      <c r="P72" s="25" t="str">
        <f>IF((D72&gt;=1995)*AND(F72&gt;94),(I72/Standards!$G$12),"---")</f>
        <v>---</v>
      </c>
    </row>
    <row r="73" spans="1:16" ht="11.25">
      <c r="A73" s="23" t="str">
        <f>IF(2012-D73&lt;18,"Yth",IF(2012-D73&lt;21,"Jun","Sen"))</f>
        <v>Sen</v>
      </c>
      <c r="B73" s="7">
        <f>VLOOKUP(F73,Men__weight_categories,2,TRUE)</f>
        <v>50</v>
      </c>
      <c r="C73" s="49"/>
      <c r="D73" s="50"/>
      <c r="E73" s="50"/>
      <c r="F73" s="51"/>
      <c r="G73" s="53"/>
      <c r="H73" s="53"/>
      <c r="I73" s="42"/>
      <c r="J73" s="40"/>
      <c r="K73" s="48"/>
      <c r="M73" s="8">
        <f>I73/VLOOKUP(B73,Standards!$A$3:$H$12,3)</f>
        <v>0</v>
      </c>
      <c r="N73" s="27" t="str">
        <f>IF(D73&gt;=1992,I73/VLOOKUP(B73,Standards!$A$3:$H$12,5),"---")</f>
        <v>---</v>
      </c>
      <c r="O73" s="27" t="str">
        <f>IF(D73&gt;=1995,I73/VLOOKUP(B73,Standards!$A$3:$H$12,7),"---")</f>
        <v>---</v>
      </c>
      <c r="P73" s="25" t="str">
        <f>IF((D73&gt;=1995)*AND(F73&gt;94),(I73/Standards!$G$12),"---")</f>
        <v>---</v>
      </c>
    </row>
    <row r="74" spans="1:16" ht="11.25">
      <c r="A74" s="23" t="str">
        <f>IF(2012-D74&lt;18,"Yth",IF(2012-D74&lt;21,"Jun","Sen"))</f>
        <v>Sen</v>
      </c>
      <c r="B74" s="7">
        <f>VLOOKUP(F74,Men__weight_categories,2,TRUE)</f>
        <v>50</v>
      </c>
      <c r="C74" s="52"/>
      <c r="D74" s="50"/>
      <c r="E74" s="50"/>
      <c r="F74" s="51"/>
      <c r="G74" s="53"/>
      <c r="H74" s="53"/>
      <c r="I74" s="42"/>
      <c r="J74" s="40"/>
      <c r="K74" s="48"/>
      <c r="M74" s="8">
        <f>I74/VLOOKUP(B74,Standards!$A$3:$H$12,3)</f>
        <v>0</v>
      </c>
      <c r="N74" s="27" t="str">
        <f>IF(D74&gt;=1992,I74/VLOOKUP(B74,Standards!$A$3:$H$12,5),"---")</f>
        <v>---</v>
      </c>
      <c r="O74" s="27" t="str">
        <f>IF(D74&gt;=1995,I74/VLOOKUP(B74,Standards!$A$3:$H$12,7),"---")</f>
        <v>---</v>
      </c>
      <c r="P74" s="25" t="str">
        <f>IF((D74&gt;=1995)*AND(F74&gt;94),(I74/Standards!$G$12),"---")</f>
        <v>---</v>
      </c>
    </row>
    <row r="75" spans="1:16" ht="11.25">
      <c r="A75" s="23" t="str">
        <f>IF(2012-D75&lt;18,"Yth",IF(2012-D75&lt;21,"Jun","Sen"))</f>
        <v>Sen</v>
      </c>
      <c r="B75" s="7">
        <f>VLOOKUP(F75,Men__weight_categories,2,TRUE)</f>
        <v>50</v>
      </c>
      <c r="C75" s="49"/>
      <c r="D75" s="50"/>
      <c r="E75" s="50"/>
      <c r="F75" s="57"/>
      <c r="G75" s="54"/>
      <c r="H75" s="54"/>
      <c r="I75" s="42"/>
      <c r="J75" s="40"/>
      <c r="K75" s="48"/>
      <c r="M75" s="8">
        <f>I75/VLOOKUP(B75,Standards!$A$3:$H$12,3)</f>
        <v>0</v>
      </c>
      <c r="N75" s="27" t="str">
        <f>IF(D75&gt;=1992,I75/VLOOKUP(B75,Standards!$A$3:$H$12,5),"---")</f>
        <v>---</v>
      </c>
      <c r="O75" s="27" t="str">
        <f>IF(D75&gt;=1995,I75/VLOOKUP(B75,Standards!$A$3:$H$12,7),"---")</f>
        <v>---</v>
      </c>
      <c r="P75" s="25" t="str">
        <f>IF((D75&gt;=1995)*AND(F75&gt;94),(I75/Standards!$G$12),"---")</f>
        <v>---</v>
      </c>
    </row>
    <row r="76" spans="1:16" ht="11.25">
      <c r="A76" s="23" t="str">
        <f>IF(2012-D76&lt;18,"Yth",IF(2012-D76&lt;21,"Jun","Sen"))</f>
        <v>Sen</v>
      </c>
      <c r="B76" s="7">
        <f>VLOOKUP(F76,Men__weight_categories,2,TRUE)</f>
        <v>50</v>
      </c>
      <c r="C76" s="49"/>
      <c r="D76" s="50"/>
      <c r="E76" s="50"/>
      <c r="F76" s="51"/>
      <c r="G76" s="54"/>
      <c r="H76" s="54"/>
      <c r="I76" s="42"/>
      <c r="J76" s="40"/>
      <c r="K76" s="48"/>
      <c r="M76" s="8">
        <f>I76/VLOOKUP(B76,Standards!$A$3:$H$12,3)</f>
        <v>0</v>
      </c>
      <c r="N76" s="27" t="str">
        <f>IF(D76&gt;=1992,I76/VLOOKUP(B76,Standards!$A$3:$H$12,5),"---")</f>
        <v>---</v>
      </c>
      <c r="O76" s="27" t="str">
        <f>IF(D76&gt;=1995,I76/VLOOKUP(B76,Standards!$A$3:$H$12,7),"---")</f>
        <v>---</v>
      </c>
      <c r="P76" s="25" t="str">
        <f>IF((D76&gt;=1995)*AND(F76&gt;94),(I76/Standards!$G$12),"---")</f>
        <v>---</v>
      </c>
    </row>
    <row r="77" spans="1:16" ht="11.25">
      <c r="A77" s="23" t="str">
        <f>IF(2012-D77&lt;18,"Yth",IF(2012-D77&lt;21,"Jun","Sen"))</f>
        <v>Sen</v>
      </c>
      <c r="B77" s="7">
        <f>VLOOKUP(F77,Men__weight_categories,2,TRUE)</f>
        <v>50</v>
      </c>
      <c r="C77" s="29"/>
      <c r="D77" s="30"/>
      <c r="E77" s="30"/>
      <c r="F77" s="40"/>
      <c r="G77" s="31"/>
      <c r="H77" s="31"/>
      <c r="I77" s="42"/>
      <c r="J77" s="40"/>
      <c r="K77" s="32"/>
      <c r="L77" s="33"/>
      <c r="M77" s="8">
        <f>I77/VLOOKUP(B77,Standards!$A$3:$H$12,3)</f>
        <v>0</v>
      </c>
      <c r="N77" s="27" t="str">
        <f>IF(D77&gt;=1992,I77/VLOOKUP(B77,Standards!$A$3:$H$12,5),"---")</f>
        <v>---</v>
      </c>
      <c r="O77" s="27" t="str">
        <f>IF(D77&gt;=1995,I77/VLOOKUP(B77,Standards!$A$3:$H$12,7),"---")</f>
        <v>---</v>
      </c>
      <c r="P77" s="25" t="str">
        <f>IF((D77&gt;=1995)*AND(F77&gt;94),(I77/Standards!$G$12),"---")</f>
        <v>---</v>
      </c>
    </row>
    <row r="78" spans="1:16" ht="11.25">
      <c r="A78" s="23" t="str">
        <f>IF(2012-D78&lt;18,"Yth",IF(2012-D78&lt;21,"Jun","Sen"))</f>
        <v>Sen</v>
      </c>
      <c r="B78" s="7">
        <f>VLOOKUP(F78,Men__weight_categories,2,TRUE)</f>
        <v>50</v>
      </c>
      <c r="C78" s="49"/>
      <c r="D78" s="50"/>
      <c r="E78" s="50"/>
      <c r="F78" s="51"/>
      <c r="G78" s="53"/>
      <c r="H78" s="53"/>
      <c r="I78" s="42"/>
      <c r="J78" s="40"/>
      <c r="K78" s="48"/>
      <c r="M78" s="8">
        <f>I78/VLOOKUP(B78,Standards!$A$3:$H$12,3)</f>
        <v>0</v>
      </c>
      <c r="N78" s="27" t="str">
        <f>IF(D78&gt;=1992,I78/VLOOKUP(B78,Standards!$A$3:$H$12,5),"---")</f>
        <v>---</v>
      </c>
      <c r="O78" s="27" t="str">
        <f>IF(D78&gt;=1995,I78/VLOOKUP(B78,Standards!$A$3:$H$12,7),"---")</f>
        <v>---</v>
      </c>
      <c r="P78" s="25" t="str">
        <f>IF((D78&gt;=1995)*AND(F78&gt;94),(I78/Standards!$G$12),"---")</f>
        <v>---</v>
      </c>
    </row>
    <row r="79" spans="1:16" ht="11.25">
      <c r="A79" s="23" t="str">
        <f>IF(2012-D79&lt;18,"Yth",IF(2012-D79&lt;21,"Jun","Sen"))</f>
        <v>Sen</v>
      </c>
      <c r="B79" s="7">
        <f>VLOOKUP(F79,Men__weight_categories,2,TRUE)</f>
        <v>50</v>
      </c>
      <c r="I79" s="42"/>
      <c r="J79" s="40"/>
      <c r="K79" s="48"/>
      <c r="M79" s="8">
        <f>I79/VLOOKUP(B79,Standards!$A$3:$H$12,3)</f>
        <v>0</v>
      </c>
      <c r="N79" s="27" t="str">
        <f>IF(D79&gt;=1992,I79/VLOOKUP(B79,Standards!$A$3:$H$12,5),"---")</f>
        <v>---</v>
      </c>
      <c r="O79" s="27" t="str">
        <f>IF(D79&gt;=1995,I79/VLOOKUP(B79,Standards!$A$3:$H$12,7),"---")</f>
        <v>---</v>
      </c>
      <c r="P79" s="25" t="str">
        <f>IF((D79&gt;=1995)*AND(F79&gt;94),(I79/Standards!$G$12),"---")</f>
        <v>---</v>
      </c>
    </row>
    <row r="80" spans="1:16" ht="11.25">
      <c r="A80" s="23" t="str">
        <f>IF(2012-D80&lt;18,"Yth",IF(2012-D80&lt;21,"Jun","Sen"))</f>
        <v>Sen</v>
      </c>
      <c r="B80" s="7">
        <f>VLOOKUP(F80,Men__weight_categories,2,TRUE)</f>
        <v>50</v>
      </c>
      <c r="C80" s="49"/>
      <c r="D80" s="50"/>
      <c r="E80" s="50"/>
      <c r="F80" s="57"/>
      <c r="G80" s="53"/>
      <c r="H80" s="53"/>
      <c r="I80" s="42"/>
      <c r="J80" s="40"/>
      <c r="K80" s="48"/>
      <c r="M80" s="8">
        <f>I80/VLOOKUP(B80,Standards!$A$3:$H$12,3)</f>
        <v>0</v>
      </c>
      <c r="N80" s="27" t="str">
        <f>IF(D80&gt;=1992,I80/VLOOKUP(B80,Standards!$A$3:$H$12,5),"---")</f>
        <v>---</v>
      </c>
      <c r="O80" s="27" t="str">
        <f>IF(D80&gt;=1995,I80/VLOOKUP(B80,Standards!$A$3:$H$12,7),"---")</f>
        <v>---</v>
      </c>
      <c r="P80" s="25" t="str">
        <f>IF((D80&gt;=1995)*AND(F80&gt;94),(I80/Standards!$G$12),"---")</f>
        <v>---</v>
      </c>
    </row>
    <row r="81" spans="1:16" ht="11.25">
      <c r="A81" s="23" t="str">
        <f>IF(2012-D81&lt;18,"Yth",IF(2012-D81&lt;21,"Jun","Sen"))</f>
        <v>Sen</v>
      </c>
      <c r="B81" s="7">
        <f>VLOOKUP(F81,Men__weight_categories,2,TRUE)</f>
        <v>50</v>
      </c>
      <c r="C81" s="29"/>
      <c r="D81" s="30"/>
      <c r="E81" s="30"/>
      <c r="F81" s="40"/>
      <c r="G81" s="31"/>
      <c r="H81" s="31"/>
      <c r="I81" s="42"/>
      <c r="J81" s="40"/>
      <c r="K81" s="32"/>
      <c r="L81" s="33"/>
      <c r="M81" s="8">
        <f>I81/VLOOKUP(B81,Standards!$A$3:$H$12,3)</f>
        <v>0</v>
      </c>
      <c r="N81" s="27" t="str">
        <f>IF(D81&gt;=1992,I81/VLOOKUP(B81,Standards!$A$3:$H$12,5),"---")</f>
        <v>---</v>
      </c>
      <c r="O81" s="27" t="str">
        <f>IF(D81&gt;=1995,I81/VLOOKUP(B81,Standards!$A$3:$H$12,7),"---")</f>
        <v>---</v>
      </c>
      <c r="P81" s="25" t="str">
        <f>IF((D81&gt;=1995)*AND(F81&gt;94),(I81/Standards!$G$12),"---")</f>
        <v>---</v>
      </c>
    </row>
    <row r="82" spans="1:16" ht="11.25">
      <c r="A82" s="23" t="str">
        <f>IF(2012-D82&lt;18,"Yth",IF(2012-D82&lt;21,"Jun","Sen"))</f>
        <v>Sen</v>
      </c>
      <c r="B82" s="7">
        <f>VLOOKUP(F82,Men__weight_categories,2,TRUE)</f>
        <v>50</v>
      </c>
      <c r="C82" s="49"/>
      <c r="D82" s="50"/>
      <c r="E82" s="50"/>
      <c r="F82" s="57"/>
      <c r="G82" s="54"/>
      <c r="H82" s="54"/>
      <c r="I82" s="42"/>
      <c r="J82" s="40"/>
      <c r="K82" s="48"/>
      <c r="M82" s="8">
        <f>I82/VLOOKUP(B82,Standards!$A$3:$H$12,3)</f>
        <v>0</v>
      </c>
      <c r="N82" s="27" t="str">
        <f>IF(D82&gt;=1992,I82/VLOOKUP(B82,Standards!$A$3:$H$12,5),"---")</f>
        <v>---</v>
      </c>
      <c r="O82" s="27" t="str">
        <f>IF(D82&gt;=1995,I82/VLOOKUP(B82,Standards!$A$3:$H$12,7),"---")</f>
        <v>---</v>
      </c>
      <c r="P82" s="25" t="str">
        <f>IF((D82&gt;=1995)*AND(F82&gt;94),(I82/Standards!$G$12),"---")</f>
        <v>---</v>
      </c>
    </row>
    <row r="83" spans="1:16" ht="11.25">
      <c r="A83" s="23" t="str">
        <f>IF(2012-D83&lt;18,"Yth",IF(2012-D83&lt;21,"Jun","Sen"))</f>
        <v>Sen</v>
      </c>
      <c r="B83" s="7">
        <f>VLOOKUP(F83,Men__weight_categories,2,TRUE)</f>
        <v>50</v>
      </c>
      <c r="C83" s="52"/>
      <c r="D83" s="50"/>
      <c r="E83" s="50"/>
      <c r="F83" s="51"/>
      <c r="G83" s="53"/>
      <c r="H83" s="53"/>
      <c r="I83" s="42"/>
      <c r="J83" s="40"/>
      <c r="K83" s="48"/>
      <c r="M83" s="8">
        <f>I83/VLOOKUP(B83,Standards!$A$3:$H$12,3)</f>
        <v>0</v>
      </c>
      <c r="N83" s="27" t="str">
        <f>IF(D83&gt;=1992,I83/VLOOKUP(B83,Standards!$A$3:$H$12,5),"---")</f>
        <v>---</v>
      </c>
      <c r="O83" s="27" t="str">
        <f>IF(D83&gt;=1995,I83/VLOOKUP(B83,Standards!$A$3:$H$12,7),"---")</f>
        <v>---</v>
      </c>
      <c r="P83" s="25" t="str">
        <f>IF((D83&gt;=1995)*AND(F83&gt;94),(I83/Standards!$G$12),"---")</f>
        <v>---</v>
      </c>
    </row>
    <row r="84" spans="1:16" ht="11.25">
      <c r="A84" s="23" t="str">
        <f>IF(2012-D84&lt;18,"Yth",IF(2012-D84&lt;21,"Jun","Sen"))</f>
        <v>Sen</v>
      </c>
      <c r="B84" s="7">
        <f>VLOOKUP(F84,Men__weight_categories,2,TRUE)</f>
        <v>50</v>
      </c>
      <c r="C84" s="49"/>
      <c r="D84" s="50"/>
      <c r="E84" s="36"/>
      <c r="F84" s="51"/>
      <c r="G84" s="53"/>
      <c r="H84" s="53"/>
      <c r="I84" s="42"/>
      <c r="J84" s="40"/>
      <c r="K84" s="48"/>
      <c r="M84" s="8">
        <f>I84/VLOOKUP(B84,Standards!$A$3:$H$12,3)</f>
        <v>0</v>
      </c>
      <c r="N84" s="27" t="str">
        <f>IF(D84&gt;=1992,I84/VLOOKUP(B84,Standards!$A$3:$H$12,5),"---")</f>
        <v>---</v>
      </c>
      <c r="O84" s="27" t="str">
        <f>IF(D84&gt;=1995,I84/VLOOKUP(B84,Standards!$A$3:$H$12,7),"---")</f>
        <v>---</v>
      </c>
      <c r="P84" s="25" t="str">
        <f>IF((D84&gt;=1995)*AND(F84&gt;94),(I84/Standards!$G$12),"---")</f>
        <v>---</v>
      </c>
    </row>
    <row r="85" spans="1:16" ht="11.25">
      <c r="A85" s="23" t="str">
        <f>IF(2012-D85&lt;18,"Yth",IF(2012-D85&lt;21,"Jun","Sen"))</f>
        <v>Sen</v>
      </c>
      <c r="B85" s="7">
        <f>VLOOKUP(F85,Men__weight_categories,2,TRUE)</f>
        <v>50</v>
      </c>
      <c r="I85" s="42"/>
      <c r="J85" s="40"/>
      <c r="K85" s="48"/>
      <c r="M85" s="8">
        <f>I85/VLOOKUP(B85,Standards!$A$3:$H$12,3)</f>
        <v>0</v>
      </c>
      <c r="N85" s="27" t="str">
        <f>IF(D85&gt;=1992,I85/VLOOKUP(B85,Standards!$A$3:$H$12,5),"---")</f>
        <v>---</v>
      </c>
      <c r="O85" s="27" t="str">
        <f>IF(D85&gt;=1995,I85/VLOOKUP(B85,Standards!$A$3:$H$12,7),"---")</f>
        <v>---</v>
      </c>
      <c r="P85" s="25" t="str">
        <f>IF((D85&gt;=1995)*AND(F85&gt;94),(I85/Standards!$G$12),"---")</f>
        <v>---</v>
      </c>
    </row>
    <row r="86" spans="1:16" ht="11.25">
      <c r="A86" s="23" t="str">
        <f>IF(2012-D86&lt;18,"Yth",IF(2012-D86&lt;21,"Jun","Sen"))</f>
        <v>Sen</v>
      </c>
      <c r="B86" s="7">
        <f>VLOOKUP(F86,Men__weight_categories,2,TRUE)</f>
        <v>50</v>
      </c>
      <c r="C86" s="49"/>
      <c r="D86" s="50"/>
      <c r="E86" s="50"/>
      <c r="F86" s="51"/>
      <c r="G86" s="54"/>
      <c r="H86" s="54"/>
      <c r="I86" s="42"/>
      <c r="J86" s="40"/>
      <c r="K86" s="48"/>
      <c r="M86" s="8">
        <f>I86/VLOOKUP(B86,Standards!$A$3:$H$12,3)</f>
        <v>0</v>
      </c>
      <c r="N86" s="27" t="str">
        <f>IF(D86&gt;=1992,I86/VLOOKUP(B86,Standards!$A$3:$H$12,5),"---")</f>
        <v>---</v>
      </c>
      <c r="O86" s="27" t="str">
        <f>IF(D86&gt;=1995,I86/VLOOKUP(B86,Standards!$A$3:$H$12,7),"---")</f>
        <v>---</v>
      </c>
      <c r="P86" s="25" t="str">
        <f>IF((D86&gt;=1995)*AND(F86&gt;94),(I86/Standards!$G$12),"---")</f>
        <v>---</v>
      </c>
    </row>
    <row r="87" spans="1:16" ht="11.25">
      <c r="A87" s="23" t="str">
        <f>IF(2012-D87&lt;18,"Yth",IF(2012-D87&lt;21,"Jun","Sen"))</f>
        <v>Sen</v>
      </c>
      <c r="B87" s="7">
        <f>VLOOKUP(F87,Men__weight_categories,2,TRUE)</f>
        <v>50</v>
      </c>
      <c r="I87" s="42"/>
      <c r="J87" s="40"/>
      <c r="K87" s="48"/>
      <c r="M87" s="8">
        <f>I87/VLOOKUP(B87,Standards!$A$3:$H$12,3)</f>
        <v>0</v>
      </c>
      <c r="N87" s="27" t="str">
        <f>IF(D87&gt;=1992,I87/VLOOKUP(B87,Standards!$A$3:$H$12,5),"---")</f>
        <v>---</v>
      </c>
      <c r="O87" s="27" t="str">
        <f>IF(D87&gt;=1995,I87/VLOOKUP(B87,Standards!$A$3:$H$12,7),"---")</f>
        <v>---</v>
      </c>
      <c r="P87" s="25" t="str">
        <f>IF((D87&gt;=1995)*AND(F87&gt;94),(I87/Standards!$G$12),"---")</f>
        <v>---</v>
      </c>
    </row>
    <row r="88" spans="1:16" ht="11.25">
      <c r="A88" s="23" t="str">
        <f>IF(2012-D88&lt;18,"Yth",IF(2012-D88&lt;21,"Jun","Sen"))</f>
        <v>Sen</v>
      </c>
      <c r="B88" s="7">
        <f>VLOOKUP(F88,Men__weight_categories,2,TRUE)</f>
        <v>50</v>
      </c>
      <c r="C88" s="49"/>
      <c r="D88" s="50"/>
      <c r="E88" s="33"/>
      <c r="F88" s="51"/>
      <c r="G88" s="53"/>
      <c r="H88" s="53"/>
      <c r="I88" s="42"/>
      <c r="J88" s="40"/>
      <c r="K88" s="48"/>
      <c r="M88" s="8">
        <f>I88/VLOOKUP(B88,Standards!$A$3:$H$12,3)</f>
        <v>0</v>
      </c>
      <c r="N88" s="27" t="str">
        <f>IF(D88&gt;=1992,I88/VLOOKUP(B88,Standards!$A$3:$H$12,5),"---")</f>
        <v>---</v>
      </c>
      <c r="O88" s="27" t="str">
        <f>IF(D88&gt;=1995,I88/VLOOKUP(B88,Standards!$A$3:$H$12,7),"---")</f>
        <v>---</v>
      </c>
      <c r="P88" s="25" t="str">
        <f>IF((D88&gt;=1995)*AND(F88&gt;94),(I88/Standards!$G$12),"---")</f>
        <v>---</v>
      </c>
    </row>
    <row r="89" spans="1:16" ht="11.25">
      <c r="A89" s="23" t="str">
        <f>IF(2012-D89&lt;18,"Yth",IF(2012-D89&lt;21,"Jun","Sen"))</f>
        <v>Sen</v>
      </c>
      <c r="B89" s="7">
        <f>VLOOKUP(F89,Men__weight_categories,2,TRUE)</f>
        <v>50</v>
      </c>
      <c r="C89" s="29"/>
      <c r="D89" s="30"/>
      <c r="E89" s="30"/>
      <c r="F89" s="40"/>
      <c r="G89" s="31"/>
      <c r="H89" s="31"/>
      <c r="I89" s="42"/>
      <c r="J89" s="40"/>
      <c r="K89" s="32"/>
      <c r="L89" s="33"/>
      <c r="M89" s="8">
        <f>I89/VLOOKUP(B89,Standards!$A$3:$H$12,3)</f>
        <v>0</v>
      </c>
      <c r="N89" s="27" t="str">
        <f>IF(D89&gt;=1992,I89/VLOOKUP(B89,Standards!$A$3:$H$12,5),"---")</f>
        <v>---</v>
      </c>
      <c r="O89" s="27" t="str">
        <f>IF(D89&gt;=1995,I89/VLOOKUP(B89,Standards!$A$3:$H$12,7),"---")</f>
        <v>---</v>
      </c>
      <c r="P89" s="25" t="str">
        <f>IF((D89&gt;=1995)*AND(F89&gt;94),(I89/Standards!$G$12),"---")</f>
        <v>---</v>
      </c>
    </row>
    <row r="90" spans="1:16" ht="11.25">
      <c r="A90" s="23" t="str">
        <f>IF(2012-D90&lt;18,"Yth",IF(2012-D90&lt;21,"Jun","Sen"))</f>
        <v>Sen</v>
      </c>
      <c r="B90" s="7">
        <f>VLOOKUP(F90,Men__weight_categories,2,TRUE)</f>
        <v>50</v>
      </c>
      <c r="I90" s="42"/>
      <c r="J90" s="40"/>
      <c r="K90" s="48"/>
      <c r="M90" s="8">
        <f>I90/VLOOKUP(B90,Standards!$A$3:$H$12,3)</f>
        <v>0</v>
      </c>
      <c r="N90" s="27" t="str">
        <f>IF(D90&gt;=1992,I90/VLOOKUP(B90,Standards!$A$3:$H$12,5),"---")</f>
        <v>---</v>
      </c>
      <c r="O90" s="27" t="str">
        <f>IF(D90&gt;=1995,I90/VLOOKUP(B90,Standards!$A$3:$H$12,7),"---")</f>
        <v>---</v>
      </c>
      <c r="P90" s="25" t="str">
        <f>IF((D90&gt;=1995)*AND(F90&gt;94),(I90/Standards!$G$12),"---")</f>
        <v>---</v>
      </c>
    </row>
    <row r="91" spans="1:16" ht="11.25">
      <c r="A91" s="23" t="str">
        <f>IF(2012-D91&lt;18,"Yth",IF(2012-D91&lt;21,"Jun","Sen"))</f>
        <v>Sen</v>
      </c>
      <c r="B91" s="7">
        <f>VLOOKUP(F91,Men__weight_categories,2,TRUE)</f>
        <v>50</v>
      </c>
      <c r="I91" s="42"/>
      <c r="J91" s="40"/>
      <c r="K91" s="48"/>
      <c r="M91" s="8">
        <f>I91/VLOOKUP(B91,Standards!$A$3:$H$12,3)</f>
        <v>0</v>
      </c>
      <c r="N91" s="27" t="str">
        <f>IF(D91&gt;=1992,I91/VLOOKUP(B91,Standards!$A$3:$H$12,5),"---")</f>
        <v>---</v>
      </c>
      <c r="O91" s="27" t="str">
        <f>IF(D91&gt;=1995,I91/VLOOKUP(B91,Standards!$A$3:$H$12,7),"---")</f>
        <v>---</v>
      </c>
      <c r="P91" s="25" t="str">
        <f>IF((D91&gt;=1995)*AND(F91&gt;94),(I91/Standards!$G$12),"---")</f>
        <v>---</v>
      </c>
    </row>
    <row r="92" spans="1:16" ht="11.25">
      <c r="A92" s="23" t="str">
        <f>IF(2012-D92&lt;18,"Yth",IF(2012-D92&lt;21,"Jun","Sen"))</f>
        <v>Sen</v>
      </c>
      <c r="B92" s="7">
        <f>VLOOKUP(F92,Men__weight_categories,2,TRUE)</f>
        <v>50</v>
      </c>
      <c r="C92" s="49"/>
      <c r="D92" s="50"/>
      <c r="E92" s="50"/>
      <c r="F92" s="57"/>
      <c r="G92" s="53"/>
      <c r="H92" s="53"/>
      <c r="I92" s="42"/>
      <c r="J92" s="40"/>
      <c r="K92" s="48"/>
      <c r="M92" s="8">
        <f>I92/VLOOKUP(B92,Standards!$A$3:$H$12,3)</f>
        <v>0</v>
      </c>
      <c r="N92" s="27" t="str">
        <f>IF(D92&gt;=1992,I92/VLOOKUP(B92,Standards!$A$3:$H$12,5),"---")</f>
        <v>---</v>
      </c>
      <c r="O92" s="27" t="str">
        <f>IF(D92&gt;=1995,I92/VLOOKUP(B92,Standards!$A$3:$H$12,7),"---")</f>
        <v>---</v>
      </c>
      <c r="P92" s="25" t="str">
        <f>IF((D92&gt;=1995)*AND(F92&gt;94),(I92/Standards!$G$12),"---")</f>
        <v>---</v>
      </c>
    </row>
    <row r="93" spans="1:16" ht="11.25">
      <c r="A93" s="23" t="str">
        <f>IF(2012-D93&lt;18,"Yth",IF(2012-D93&lt;21,"Jun","Sen"))</f>
        <v>Sen</v>
      </c>
      <c r="B93" s="7">
        <f>VLOOKUP(F93,Men__weight_categories,2,TRUE)</f>
        <v>50</v>
      </c>
      <c r="C93" s="49"/>
      <c r="D93" s="50"/>
      <c r="E93" s="50"/>
      <c r="F93" s="57"/>
      <c r="G93" s="53"/>
      <c r="H93" s="53"/>
      <c r="I93" s="42"/>
      <c r="J93" s="40"/>
      <c r="K93" s="48"/>
      <c r="M93" s="8">
        <f>I93/VLOOKUP(B93,Standards!$A$3:$H$12,3)</f>
        <v>0</v>
      </c>
      <c r="N93" s="27" t="str">
        <f>IF(D93&gt;=1992,I93/VLOOKUP(B93,Standards!$A$3:$H$12,5),"---")</f>
        <v>---</v>
      </c>
      <c r="O93" s="27" t="str">
        <f>IF(D93&gt;=1995,I93/VLOOKUP(B93,Standards!$A$3:$H$12,7),"---")</f>
        <v>---</v>
      </c>
      <c r="P93" s="25" t="str">
        <f>IF((D93&gt;=1995)*AND(F93&gt;94),(I93/Standards!$G$12),"---")</f>
        <v>---</v>
      </c>
    </row>
    <row r="94" spans="1:16" ht="11.25">
      <c r="A94" s="23" t="str">
        <f>IF(2012-D94&lt;18,"Yth",IF(2012-D94&lt;21,"Jun","Sen"))</f>
        <v>Sen</v>
      </c>
      <c r="B94" s="7">
        <f>VLOOKUP(F94,Men__weight_categories,2,TRUE)</f>
        <v>50</v>
      </c>
      <c r="I94" s="42"/>
      <c r="J94" s="40"/>
      <c r="K94" s="48"/>
      <c r="M94" s="8">
        <f>I94/VLOOKUP(B94,Standards!$A$3:$H$12,3)</f>
        <v>0</v>
      </c>
      <c r="N94" s="27" t="str">
        <f>IF(D94&gt;=1992,I94/VLOOKUP(B94,Standards!$A$3:$H$12,5),"---")</f>
        <v>---</v>
      </c>
      <c r="O94" s="27" t="str">
        <f>IF(D94&gt;=1995,I94/VLOOKUP(B94,Standards!$A$3:$H$12,7),"---")</f>
        <v>---</v>
      </c>
      <c r="P94" s="25" t="str">
        <f>IF((D94&gt;=1995)*AND(F94&gt;94),(I94/Standards!$G$12),"---")</f>
        <v>---</v>
      </c>
    </row>
    <row r="95" spans="1:16" ht="11.25">
      <c r="A95" s="23" t="str">
        <f>IF(2012-D95&lt;18,"Yth",IF(2012-D95&lt;21,"Jun","Sen"))</f>
        <v>Sen</v>
      </c>
      <c r="B95" s="7">
        <f>VLOOKUP(F95,Men__weight_categories,2,TRUE)</f>
        <v>50</v>
      </c>
      <c r="C95" s="49"/>
      <c r="D95" s="50"/>
      <c r="E95" s="50"/>
      <c r="F95" s="51"/>
      <c r="G95" s="53"/>
      <c r="H95" s="53"/>
      <c r="I95" s="42"/>
      <c r="J95" s="40"/>
      <c r="K95" s="48"/>
      <c r="M95" s="8">
        <f>I95/VLOOKUP(B95,Standards!$A$3:$H$12,3)</f>
        <v>0</v>
      </c>
      <c r="N95" s="27" t="str">
        <f>IF(D95&gt;=1992,I95/VLOOKUP(B95,Standards!$A$3:$H$12,5),"---")</f>
        <v>---</v>
      </c>
      <c r="O95" s="27" t="str">
        <f>IF(D95&gt;=1995,I95/VLOOKUP(B95,Standards!$A$3:$H$12,7),"---")</f>
        <v>---</v>
      </c>
      <c r="P95" s="25" t="str">
        <f>IF((D95&gt;=1995)*AND(F95&gt;94),(I95/Standards!$G$12),"---")</f>
        <v>---</v>
      </c>
    </row>
    <row r="96" spans="1:16" ht="11.25">
      <c r="A96" s="23" t="str">
        <f>IF(2012-D96&lt;18,"Yth",IF(2012-D96&lt;21,"Jun","Sen"))</f>
        <v>Sen</v>
      </c>
      <c r="B96" s="7">
        <f>VLOOKUP(F96,Men__weight_categories,2,TRUE)</f>
        <v>50</v>
      </c>
      <c r="C96" s="49"/>
      <c r="D96" s="50"/>
      <c r="E96" s="50"/>
      <c r="F96" s="51"/>
      <c r="G96" s="53"/>
      <c r="H96" s="53"/>
      <c r="I96" s="42"/>
      <c r="J96" s="40"/>
      <c r="K96" s="48"/>
      <c r="M96" s="8">
        <f>I96/VLOOKUP(B96,Standards!$A$3:$H$12,3)</f>
        <v>0</v>
      </c>
      <c r="N96" s="27" t="str">
        <f>IF(D96&gt;=1992,I96/VLOOKUP(B96,Standards!$A$3:$H$12,5),"---")</f>
        <v>---</v>
      </c>
      <c r="O96" s="27" t="str">
        <f>IF(D96&gt;=1995,I96/VLOOKUP(B96,Standards!$A$3:$H$12,7),"---")</f>
        <v>---</v>
      </c>
      <c r="P96" s="25" t="str">
        <f>IF((D96&gt;=1995)*AND(F96&gt;94),(I96/Standards!$G$12),"---")</f>
        <v>---</v>
      </c>
    </row>
    <row r="97" spans="1:16" ht="11.25">
      <c r="A97" s="23" t="str">
        <f>IF(2012-D97&lt;18,"Yth",IF(2012-D97&lt;21,"Jun","Sen"))</f>
        <v>Sen</v>
      </c>
      <c r="B97" s="7">
        <f>VLOOKUP(F97,Men__weight_categories,2,TRUE)</f>
        <v>50</v>
      </c>
      <c r="I97" s="42"/>
      <c r="J97" s="40"/>
      <c r="K97" s="48"/>
      <c r="M97" s="8">
        <f>I97/VLOOKUP(B97,Standards!$A$3:$H$12,3)</f>
        <v>0</v>
      </c>
      <c r="N97" s="27" t="str">
        <f>IF(D97&gt;=1992,I97/VLOOKUP(B97,Standards!$A$3:$H$12,5),"---")</f>
        <v>---</v>
      </c>
      <c r="O97" s="27" t="str">
        <f>IF(D97&gt;=1995,I97/VLOOKUP(B97,Standards!$A$3:$H$12,7),"---")</f>
        <v>---</v>
      </c>
      <c r="P97" s="25" t="str">
        <f>IF((D97&gt;=1995)*AND(F97&gt;94),(I97/Standards!$G$12),"---")</f>
        <v>---</v>
      </c>
    </row>
    <row r="98" spans="1:16" ht="11.25">
      <c r="A98" s="23" t="str">
        <f>IF(2012-D98&lt;18,"Yth",IF(2012-D98&lt;21,"Jun","Sen"))</f>
        <v>Sen</v>
      </c>
      <c r="B98" s="7">
        <f>VLOOKUP(F98,Men__weight_categories,2,TRUE)</f>
        <v>50</v>
      </c>
      <c r="C98" s="33"/>
      <c r="D98" s="33"/>
      <c r="E98" s="33"/>
      <c r="F98" s="40"/>
      <c r="G98" s="30"/>
      <c r="H98" s="30"/>
      <c r="I98" s="42"/>
      <c r="J98" s="40"/>
      <c r="K98" s="32"/>
      <c r="L98" s="33"/>
      <c r="M98" s="8">
        <f>I98/VLOOKUP(B98,Standards!$A$3:$H$12,3)</f>
        <v>0</v>
      </c>
      <c r="N98" s="27" t="str">
        <f>IF(D98&gt;=1992,I98/VLOOKUP(B98,Standards!$A$3:$H$12,5),"---")</f>
        <v>---</v>
      </c>
      <c r="O98" s="27" t="str">
        <f>IF(D98&gt;=1995,I98/VLOOKUP(B98,Standards!$A$3:$H$12,7),"---")</f>
        <v>---</v>
      </c>
      <c r="P98" s="25" t="str">
        <f>IF((D98&gt;=1995)*AND(F98&gt;94),(I98/Standards!$G$12),"---")</f>
        <v>---</v>
      </c>
    </row>
    <row r="99" spans="1:16" ht="11.25">
      <c r="A99" s="23" t="str">
        <f>IF(2012-D99&lt;18,"Yth",IF(2012-D99&lt;21,"Jun","Sen"))</f>
        <v>Sen</v>
      </c>
      <c r="B99" s="7">
        <f>VLOOKUP(F99,Men__weight_categories,2,TRUE)</f>
        <v>50</v>
      </c>
      <c r="I99" s="42"/>
      <c r="J99" s="40"/>
      <c r="K99" s="48"/>
      <c r="M99" s="8">
        <f>I99/VLOOKUP(B99,Standards!$A$3:$H$12,3)</f>
        <v>0</v>
      </c>
      <c r="N99" s="27" t="str">
        <f>IF(D99&gt;=1992,I99/VLOOKUP(B99,Standards!$A$3:$H$12,5),"---")</f>
        <v>---</v>
      </c>
      <c r="O99" s="27" t="str">
        <f>IF(D99&gt;=1995,I99/VLOOKUP(B99,Standards!$A$3:$H$12,7),"---")</f>
        <v>---</v>
      </c>
      <c r="P99" s="25" t="str">
        <f>IF((D99&gt;=1995)*AND(F99&gt;94),(I99/Standards!$G$12),"---")</f>
        <v>---</v>
      </c>
    </row>
    <row r="100" spans="1:16" ht="11.25">
      <c r="A100" s="23" t="str">
        <f>IF(2012-D100&lt;18,"Yth",IF(2012-D100&lt;21,"Jun","Sen"))</f>
        <v>Sen</v>
      </c>
      <c r="B100" s="7">
        <f>VLOOKUP(F100,Men__weight_categories,2,TRUE)</f>
        <v>50</v>
      </c>
      <c r="C100" s="49"/>
      <c r="D100" s="50"/>
      <c r="E100" s="50"/>
      <c r="F100" s="57"/>
      <c r="G100" s="53"/>
      <c r="H100" s="53"/>
      <c r="I100" s="42"/>
      <c r="J100" s="40"/>
      <c r="K100" s="48"/>
      <c r="M100" s="8">
        <f>I100/VLOOKUP(B100,Standards!$A$3:$H$12,3)</f>
        <v>0</v>
      </c>
      <c r="N100" s="27" t="str">
        <f>IF(D100&gt;=1992,I100/VLOOKUP(B100,Standards!$A$3:$H$12,5),"---")</f>
        <v>---</v>
      </c>
      <c r="O100" s="27" t="str">
        <f>IF(D100&gt;=1995,I100/VLOOKUP(B100,Standards!$A$3:$H$12,7),"---")</f>
        <v>---</v>
      </c>
      <c r="P100" s="25" t="str">
        <f>IF((D100&gt;=1995)*AND(F100&gt;94),(I100/Standards!$G$12),"---")</f>
        <v>---</v>
      </c>
    </row>
    <row r="101" spans="1:16" ht="11.25">
      <c r="A101" s="23" t="str">
        <f>IF(2012-D101&lt;18,"Yth",IF(2012-D101&lt;21,"Jun","Sen"))</f>
        <v>Sen</v>
      </c>
      <c r="B101" s="7">
        <f>VLOOKUP(F101,Men__weight_categories,2,TRUE)</f>
        <v>50</v>
      </c>
      <c r="C101" s="49"/>
      <c r="D101" s="50"/>
      <c r="E101" s="50"/>
      <c r="F101" s="57"/>
      <c r="G101" s="53"/>
      <c r="H101" s="53"/>
      <c r="I101" s="42"/>
      <c r="J101" s="40"/>
      <c r="K101" s="48"/>
      <c r="M101" s="8">
        <f>I101/VLOOKUP(B101,Standards!$A$3:$H$12,3)</f>
        <v>0</v>
      </c>
      <c r="N101" s="27" t="str">
        <f>IF(D101&gt;=1992,I101/VLOOKUP(B101,Standards!$A$3:$H$12,5),"---")</f>
        <v>---</v>
      </c>
      <c r="O101" s="27" t="str">
        <f>IF(D101&gt;=1995,I101/VLOOKUP(B101,Standards!$A$3:$H$12,7),"---")</f>
        <v>---</v>
      </c>
      <c r="P101" s="25" t="str">
        <f>IF((D101&gt;=1995)*AND(F101&gt;94),(I101/Standards!$G$12),"---")</f>
        <v>---</v>
      </c>
    </row>
    <row r="102" spans="1:16" ht="11.25">
      <c r="A102" s="23" t="str">
        <f>IF(2012-D102&lt;18,"Yth",IF(2012-D102&lt;21,"Jun","Sen"))</f>
        <v>Sen</v>
      </c>
      <c r="B102" s="7">
        <f>VLOOKUP(F102,Men__weight_categories,2,TRUE)</f>
        <v>50</v>
      </c>
      <c r="C102" s="49"/>
      <c r="D102" s="50"/>
      <c r="E102" s="50"/>
      <c r="F102" s="57"/>
      <c r="G102" s="53"/>
      <c r="H102" s="53"/>
      <c r="I102" s="42"/>
      <c r="J102" s="40"/>
      <c r="K102" s="48"/>
      <c r="M102" s="8">
        <f>I102/VLOOKUP(B102,Standards!$A$3:$H$12,3)</f>
        <v>0</v>
      </c>
      <c r="N102" s="27" t="str">
        <f>IF(D102&gt;=1992,I102/VLOOKUP(B102,Standards!$A$3:$H$12,5),"---")</f>
        <v>---</v>
      </c>
      <c r="O102" s="27" t="str">
        <f>IF(D102&gt;=1995,I102/VLOOKUP(B102,Standards!$A$3:$H$12,7),"---")</f>
        <v>---</v>
      </c>
      <c r="P102" s="25" t="str">
        <f>IF((D102&gt;=1995)*AND(F102&gt;94),(I102/Standards!$G$12),"---")</f>
        <v>---</v>
      </c>
    </row>
    <row r="103" spans="1:16" ht="11.25">
      <c r="A103" s="23" t="str">
        <f>IF(2012-D103&lt;18,"Yth",IF(2012-D103&lt;21,"Jun","Sen"))</f>
        <v>Sen</v>
      </c>
      <c r="B103" s="7">
        <f>VLOOKUP(F103,Men__weight_categories,2,TRUE)</f>
        <v>50</v>
      </c>
      <c r="C103" s="49"/>
      <c r="D103" s="50"/>
      <c r="E103" s="50"/>
      <c r="F103" s="57"/>
      <c r="G103" s="53"/>
      <c r="H103" s="53"/>
      <c r="I103" s="42"/>
      <c r="J103" s="40"/>
      <c r="K103" s="48"/>
      <c r="M103" s="8">
        <f>I103/VLOOKUP(B103,Standards!$A$3:$H$12,3)</f>
        <v>0</v>
      </c>
      <c r="N103" s="27" t="str">
        <f>IF(D103&gt;=1992,I103/VLOOKUP(B103,Standards!$A$3:$H$12,5),"---")</f>
        <v>---</v>
      </c>
      <c r="O103" s="27" t="str">
        <f>IF(D103&gt;=1995,I103/VLOOKUP(B103,Standards!$A$3:$H$12,7),"---")</f>
        <v>---</v>
      </c>
      <c r="P103" s="25" t="str">
        <f>IF((D103&gt;=1995)*AND(F103&gt;94),(I103/Standards!$G$12),"---")</f>
        <v>---</v>
      </c>
    </row>
    <row r="104" spans="1:16" ht="11.25">
      <c r="A104" s="23" t="str">
        <f>IF(2012-D104&lt;18,"Yth",IF(2012-D104&lt;21,"Jun","Sen"))</f>
        <v>Sen</v>
      </c>
      <c r="B104" s="7">
        <f>VLOOKUP(F104,Men__weight_categories,2,TRUE)</f>
        <v>50</v>
      </c>
      <c r="C104" s="29"/>
      <c r="D104" s="30"/>
      <c r="E104" s="30"/>
      <c r="F104" s="40"/>
      <c r="G104" s="31"/>
      <c r="H104" s="31"/>
      <c r="I104" s="42"/>
      <c r="J104" s="40"/>
      <c r="K104" s="32"/>
      <c r="L104" s="33"/>
      <c r="M104" s="8">
        <f>I104/VLOOKUP(B104,Standards!$A$3:$H$12,3)</f>
        <v>0</v>
      </c>
      <c r="N104" s="27" t="str">
        <f>IF(D104&gt;=1992,I104/VLOOKUP(B104,Standards!$A$3:$H$12,5),"---")</f>
        <v>---</v>
      </c>
      <c r="O104" s="27" t="str">
        <f>IF(D104&gt;=1995,I104/VLOOKUP(B104,Standards!$A$3:$H$12,7),"---")</f>
        <v>---</v>
      </c>
      <c r="P104" s="25" t="str">
        <f>IF((D104&gt;=1995)*AND(F104&gt;94),(I104/Standards!$G$12),"---")</f>
        <v>---</v>
      </c>
    </row>
    <row r="105" spans="1:16" ht="11.25">
      <c r="A105" s="23" t="str">
        <f>IF(2012-D105&lt;18,"Yth",IF(2012-D105&lt;21,"Jun","Sen"))</f>
        <v>Sen</v>
      </c>
      <c r="B105" s="7">
        <f>VLOOKUP(F105,Men__weight_categories,2,TRUE)</f>
        <v>50</v>
      </c>
      <c r="C105" s="29"/>
      <c r="D105" s="30"/>
      <c r="E105" s="30"/>
      <c r="F105" s="40"/>
      <c r="G105" s="31"/>
      <c r="H105" s="31"/>
      <c r="I105" s="42"/>
      <c r="J105" s="40"/>
      <c r="K105" s="32"/>
      <c r="L105" s="33"/>
      <c r="M105" s="8">
        <f>I105/VLOOKUP(B105,Standards!$A$3:$H$12,3)</f>
        <v>0</v>
      </c>
      <c r="N105" s="27" t="str">
        <f>IF(D105&gt;=1992,I105/VLOOKUP(B105,Standards!$A$3:$H$12,5),"---")</f>
        <v>---</v>
      </c>
      <c r="O105" s="27" t="str">
        <f>IF(D105&gt;=1995,I105/VLOOKUP(B105,Standards!$A$3:$H$12,7),"---")</f>
        <v>---</v>
      </c>
      <c r="P105" s="25" t="str">
        <f>IF((D105&gt;=1995)*AND(F105&gt;94),(I105/Standards!$G$12),"---")</f>
        <v>---</v>
      </c>
    </row>
    <row r="106" spans="1:16" ht="11.25">
      <c r="A106" s="23" t="str">
        <f>IF(2012-D106&lt;18,"Yth",IF(2012-D106&lt;21,"Jun","Sen"))</f>
        <v>Sen</v>
      </c>
      <c r="B106" s="7">
        <f>VLOOKUP(F106,Men__weight_categories,2,TRUE)</f>
        <v>50</v>
      </c>
      <c r="C106" s="33"/>
      <c r="D106" s="33"/>
      <c r="E106" s="33"/>
      <c r="F106" s="40"/>
      <c r="G106" s="30"/>
      <c r="H106" s="30"/>
      <c r="I106" s="42"/>
      <c r="J106" s="40"/>
      <c r="K106" s="32"/>
      <c r="L106" s="33"/>
      <c r="M106" s="8">
        <f>I106/VLOOKUP(B106,Standards!$A$3:$H$12,3)</f>
        <v>0</v>
      </c>
      <c r="N106" s="27" t="str">
        <f>IF(D106&gt;=1992,I106/VLOOKUP(B106,Standards!$A$3:$H$12,5),"---")</f>
        <v>---</v>
      </c>
      <c r="O106" s="27" t="str">
        <f>IF(D106&gt;=1995,I106/VLOOKUP(B106,Standards!$A$3:$H$12,7),"---")</f>
        <v>---</v>
      </c>
      <c r="P106" s="25" t="str">
        <f>IF((D106&gt;=1995)*AND(F106&gt;94),(I106/Standards!$G$12),"---")</f>
        <v>---</v>
      </c>
    </row>
    <row r="107" spans="1:16" ht="11.25">
      <c r="A107" s="23" t="str">
        <f>IF(2012-D107&lt;18,"Yth",IF(2012-D107&lt;21,"Jun","Sen"))</f>
        <v>Sen</v>
      </c>
      <c r="B107" s="7">
        <f>VLOOKUP(F107,Men__weight_categories,2,TRUE)</f>
        <v>50</v>
      </c>
      <c r="C107" s="33"/>
      <c r="D107" s="33"/>
      <c r="E107" s="33"/>
      <c r="F107" s="40"/>
      <c r="G107" s="30"/>
      <c r="H107" s="30"/>
      <c r="I107" s="42"/>
      <c r="J107" s="40"/>
      <c r="K107" s="32"/>
      <c r="L107" s="33"/>
      <c r="M107" s="8">
        <f>I107/VLOOKUP(B107,Standards!$A$3:$H$12,3)</f>
        <v>0</v>
      </c>
      <c r="N107" s="27" t="str">
        <f>IF(D107&gt;=1992,I107/VLOOKUP(B107,Standards!$A$3:$H$12,5),"---")</f>
        <v>---</v>
      </c>
      <c r="O107" s="27" t="str">
        <f>IF(D107&gt;=1995,I107/VLOOKUP(B107,Standards!$A$3:$H$12,7),"---")</f>
        <v>---</v>
      </c>
      <c r="P107" s="25" t="str">
        <f>IF((D107&gt;=1995)*AND(F107&gt;94),(I107/Standards!$G$12),"---")</f>
        <v>---</v>
      </c>
    </row>
    <row r="108" spans="1:16" ht="11.25">
      <c r="A108" s="23" t="str">
        <f>IF(2012-D108&lt;18,"Yth",IF(2012-D108&lt;21,"Jun","Sen"))</f>
        <v>Sen</v>
      </c>
      <c r="B108" s="7">
        <f>VLOOKUP(F108,Men__weight_categories,2,TRUE)</f>
        <v>50</v>
      </c>
      <c r="C108" s="49"/>
      <c r="D108" s="50"/>
      <c r="E108" s="33"/>
      <c r="F108" s="51"/>
      <c r="G108" s="53"/>
      <c r="H108" s="53"/>
      <c r="I108" s="42"/>
      <c r="J108" s="40"/>
      <c r="K108" s="48"/>
      <c r="M108" s="8">
        <f>I108/VLOOKUP(B108,Standards!$A$3:$H$12,3)</f>
        <v>0</v>
      </c>
      <c r="N108" s="27" t="str">
        <f>IF(D108&gt;=1992,I108/VLOOKUP(B108,Standards!$A$3:$H$12,5),"---")</f>
        <v>---</v>
      </c>
      <c r="O108" s="27" t="str">
        <f>IF(D108&gt;=1995,I108/VLOOKUP(B108,Standards!$A$3:$H$12,7),"---")</f>
        <v>---</v>
      </c>
      <c r="P108" s="25" t="str">
        <f>IF((D108&gt;=1995)*AND(F108&gt;94),(I108/Standards!$G$12),"---")</f>
        <v>---</v>
      </c>
    </row>
    <row r="109" spans="1:16" ht="11.25">
      <c r="A109" s="23" t="str">
        <f>IF(2012-D109&lt;18,"Yth",IF(2012-D109&lt;21,"Jun","Sen"))</f>
        <v>Sen</v>
      </c>
      <c r="B109" s="7">
        <f>VLOOKUP(F109,Men__weight_categories,2,TRUE)</f>
        <v>50</v>
      </c>
      <c r="C109" s="33"/>
      <c r="D109" s="33"/>
      <c r="E109" s="33"/>
      <c r="F109" s="40"/>
      <c r="G109" s="30"/>
      <c r="H109" s="30"/>
      <c r="I109" s="42"/>
      <c r="J109" s="40"/>
      <c r="K109" s="32"/>
      <c r="L109" s="33"/>
      <c r="M109" s="8">
        <f>I109/VLOOKUP(B109,Standards!$A$3:$H$12,3)</f>
        <v>0</v>
      </c>
      <c r="N109" s="27" t="str">
        <f>IF(D109&gt;=1992,I109/VLOOKUP(B109,Standards!$A$3:$H$12,5),"---")</f>
        <v>---</v>
      </c>
      <c r="O109" s="27" t="str">
        <f>IF(D109&gt;=1995,I109/VLOOKUP(B109,Standards!$A$3:$H$12,7),"---")</f>
        <v>---</v>
      </c>
      <c r="P109" s="25" t="str">
        <f>IF((D109&gt;=1995)*AND(F109&gt;94),(I109/Standards!$G$12),"---")</f>
        <v>---</v>
      </c>
    </row>
    <row r="110" spans="1:16" ht="11.25">
      <c r="A110" s="23" t="str">
        <f>IF(2012-D110&lt;18,"Yth",IF(2012-D110&lt;21,"Jun","Sen"))</f>
        <v>Sen</v>
      </c>
      <c r="B110" s="7">
        <f>VLOOKUP(F110,Men__weight_categories,2,TRUE)</f>
        <v>50</v>
      </c>
      <c r="C110" s="33"/>
      <c r="D110" s="33"/>
      <c r="E110" s="33"/>
      <c r="F110" s="40"/>
      <c r="G110" s="30"/>
      <c r="H110" s="30"/>
      <c r="I110" s="42"/>
      <c r="J110" s="40"/>
      <c r="K110" s="32"/>
      <c r="L110" s="33"/>
      <c r="M110" s="8">
        <f>I110/VLOOKUP(B110,Standards!$A$3:$H$12,3)</f>
        <v>0</v>
      </c>
      <c r="N110" s="27" t="str">
        <f>IF(D110&gt;=1992,I110/VLOOKUP(B110,Standards!$A$3:$H$12,5),"---")</f>
        <v>---</v>
      </c>
      <c r="O110" s="27" t="str">
        <f>IF(D110&gt;=1995,I110/VLOOKUP(B110,Standards!$A$3:$H$12,7),"---")</f>
        <v>---</v>
      </c>
      <c r="P110" s="25" t="str">
        <f>IF((D110&gt;=1995)*AND(F110&gt;94),(I110/Standards!$G$12),"---")</f>
        <v>---</v>
      </c>
    </row>
    <row r="111" spans="1:16" ht="11.25">
      <c r="A111" s="23" t="str">
        <f>IF(2012-D111&lt;18,"Yth",IF(2012-D111&lt;21,"Jun","Sen"))</f>
        <v>Sen</v>
      </c>
      <c r="B111" s="7">
        <f>VLOOKUP(F111,Men__weight_categories,2,TRUE)</f>
        <v>50</v>
      </c>
      <c r="I111" s="42"/>
      <c r="J111" s="40"/>
      <c r="K111" s="48"/>
      <c r="M111" s="8">
        <f>I111/VLOOKUP(B111,Standards!$A$3:$H$12,3)</f>
        <v>0</v>
      </c>
      <c r="N111" s="27" t="str">
        <f>IF(D111&gt;=1992,I111/VLOOKUP(B111,Standards!$A$3:$H$12,5),"---")</f>
        <v>---</v>
      </c>
      <c r="O111" s="27" t="str">
        <f>IF(D111&gt;=1995,I111/VLOOKUP(B111,Standards!$A$3:$H$12,7),"---")</f>
        <v>---</v>
      </c>
      <c r="P111" s="25" t="str">
        <f>IF((D111&gt;=1995)*AND(F111&gt;94),(I111/Standards!$G$12),"---")</f>
        <v>---</v>
      </c>
    </row>
    <row r="112" spans="1:16" ht="11.25">
      <c r="A112" s="23" t="str">
        <f>IF(2012-D112&lt;18,"Yth",IF(2012-D112&lt;21,"Jun","Sen"))</f>
        <v>Sen</v>
      </c>
      <c r="B112" s="7">
        <f>VLOOKUP(F112,Men__weight_categories,2,TRUE)</f>
        <v>50</v>
      </c>
      <c r="C112" s="49"/>
      <c r="D112" s="50"/>
      <c r="E112" s="50"/>
      <c r="F112" s="57"/>
      <c r="G112" s="53"/>
      <c r="H112" s="53"/>
      <c r="I112" s="42"/>
      <c r="J112" s="40"/>
      <c r="K112" s="48"/>
      <c r="M112" s="8">
        <f>I112/VLOOKUP(B112,Standards!$A$3:$H$12,3)</f>
        <v>0</v>
      </c>
      <c r="N112" s="27" t="str">
        <f>IF(D112&gt;=1992,I112/VLOOKUP(B112,Standards!$A$3:$H$12,5),"---")</f>
        <v>---</v>
      </c>
      <c r="O112" s="27" t="str">
        <f>IF(D112&gt;=1995,I112/VLOOKUP(B112,Standards!$A$3:$H$12,7),"---")</f>
        <v>---</v>
      </c>
      <c r="P112" s="25" t="str">
        <f>IF((D112&gt;=1995)*AND(F112&gt;94),(I112/Standards!$G$12),"---")</f>
        <v>---</v>
      </c>
    </row>
    <row r="113" spans="1:16" ht="11.25">
      <c r="A113" s="23" t="str">
        <f>IF(2012-D113&lt;18,"Yth",IF(2012-D113&lt;21,"Jun","Sen"))</f>
        <v>Sen</v>
      </c>
      <c r="B113" s="7">
        <f>VLOOKUP(F113,Men__weight_categories,2,TRUE)</f>
        <v>50</v>
      </c>
      <c r="C113" s="52"/>
      <c r="D113" s="50"/>
      <c r="E113" s="50"/>
      <c r="F113" s="57"/>
      <c r="G113" s="53"/>
      <c r="H113" s="53"/>
      <c r="I113" s="42"/>
      <c r="J113" s="40"/>
      <c r="K113" s="48"/>
      <c r="M113" s="8">
        <f>I113/VLOOKUP(B113,Standards!$A$3:$H$12,3)</f>
        <v>0</v>
      </c>
      <c r="N113" s="27" t="str">
        <f>IF(D113&gt;=1992,I113/VLOOKUP(B113,Standards!$A$3:$H$12,5),"---")</f>
        <v>---</v>
      </c>
      <c r="O113" s="27" t="str">
        <f>IF(D113&gt;=1995,I113/VLOOKUP(B113,Standards!$A$3:$H$12,7),"---")</f>
        <v>---</v>
      </c>
      <c r="P113" s="25" t="str">
        <f>IF((D113&gt;=1995)*AND(F113&gt;94),(I113/Standards!$G$12),"---")</f>
        <v>---</v>
      </c>
    </row>
    <row r="114" spans="1:16" ht="11.25">
      <c r="A114" s="23" t="str">
        <f>IF(2012-D114&lt;18,"Yth",IF(2012-D114&lt;21,"Jun","Sen"))</f>
        <v>Sen</v>
      </c>
      <c r="B114" s="7">
        <f>VLOOKUP(F114,Men__weight_categories,2,TRUE)</f>
        <v>50</v>
      </c>
      <c r="C114" s="33"/>
      <c r="D114" s="33"/>
      <c r="E114" s="33"/>
      <c r="F114" s="40"/>
      <c r="G114" s="30"/>
      <c r="H114" s="30"/>
      <c r="I114" s="42"/>
      <c r="J114" s="40"/>
      <c r="K114" s="32"/>
      <c r="L114" s="33"/>
      <c r="M114" s="8">
        <f>I114/VLOOKUP(B114,Standards!$A$3:$H$12,3)</f>
        <v>0</v>
      </c>
      <c r="N114" s="27" t="str">
        <f>IF(D114&gt;=1992,I114/VLOOKUP(B114,Standards!$A$3:$H$12,5),"---")</f>
        <v>---</v>
      </c>
      <c r="O114" s="27" t="str">
        <f>IF(D114&gt;=1995,I114/VLOOKUP(B114,Standards!$A$3:$H$12,7),"---")</f>
        <v>---</v>
      </c>
      <c r="P114" s="25" t="str">
        <f>IF((D114&gt;=1995)*AND(F114&gt;94),(I114/Standards!$G$12),"---")</f>
        <v>---</v>
      </c>
    </row>
    <row r="115" spans="1:16" ht="11.25">
      <c r="A115" s="23" t="str">
        <f>IF(2012-D115&lt;18,"Yth",IF(2012-D115&lt;21,"Jun","Sen"))</f>
        <v>Sen</v>
      </c>
      <c r="B115" s="7">
        <f>VLOOKUP(F115,Men__weight_categories,2,TRUE)</f>
        <v>50</v>
      </c>
      <c r="C115" s="29"/>
      <c r="D115" s="30"/>
      <c r="E115" s="30"/>
      <c r="F115" s="40"/>
      <c r="G115" s="31"/>
      <c r="H115" s="31"/>
      <c r="I115" s="42"/>
      <c r="J115" s="40"/>
      <c r="K115" s="32"/>
      <c r="L115" s="33"/>
      <c r="M115" s="8">
        <f>I115/VLOOKUP(B115,Standards!$A$3:$H$12,3)</f>
        <v>0</v>
      </c>
      <c r="N115" s="27" t="str">
        <f>IF(D115&gt;=1992,I115/VLOOKUP(B115,Standards!$A$3:$H$12,5),"---")</f>
        <v>---</v>
      </c>
      <c r="O115" s="27" t="str">
        <f>IF(D115&gt;=1995,I115/VLOOKUP(B115,Standards!$A$3:$H$12,7),"---")</f>
        <v>---</v>
      </c>
      <c r="P115" s="25" t="str">
        <f>IF((D115&gt;=1995)*AND(F115&gt;94),(I115/Standards!$G$12),"---")</f>
        <v>---</v>
      </c>
    </row>
    <row r="116" spans="1:16" ht="11.25">
      <c r="A116" s="23" t="str">
        <f>IF(2012-D116&lt;18,"Yth",IF(2012-D116&lt;21,"Jun","Sen"))</f>
        <v>Sen</v>
      </c>
      <c r="B116" s="7">
        <f>VLOOKUP(F116,Men__weight_categories,2,TRUE)</f>
        <v>50</v>
      </c>
      <c r="C116" s="34"/>
      <c r="D116" s="35"/>
      <c r="E116" s="36"/>
      <c r="F116" s="41"/>
      <c r="G116" s="37"/>
      <c r="H116" s="37"/>
      <c r="I116" s="42"/>
      <c r="J116" s="40"/>
      <c r="K116" s="32"/>
      <c r="L116" s="33"/>
      <c r="M116" s="8">
        <f>I116/VLOOKUP(B116,Standards!$A$3:$H$12,3)</f>
        <v>0</v>
      </c>
      <c r="N116" s="27" t="str">
        <f>IF(D116&gt;=1992,I116/VLOOKUP(B116,Standards!$A$3:$H$12,5),"---")</f>
        <v>---</v>
      </c>
      <c r="O116" s="27" t="str">
        <f>IF(D116&gt;=1995,I116/VLOOKUP(B116,Standards!$A$3:$H$12,7),"---")</f>
        <v>---</v>
      </c>
      <c r="P116" s="25" t="str">
        <f>IF((D116&gt;=1995)*AND(F116&gt;94),(I116/Standards!$G$12),"---")</f>
        <v>---</v>
      </c>
    </row>
    <row r="117" spans="1:16" ht="11.25">
      <c r="A117" s="23" t="str">
        <f>IF(2012-D117&lt;18,"Yth",IF(2012-D117&lt;21,"Jun","Sen"))</f>
        <v>Sen</v>
      </c>
      <c r="B117" s="7">
        <f>VLOOKUP(F117,Men__weight_categories,2,TRUE)</f>
        <v>50</v>
      </c>
      <c r="C117" s="29"/>
      <c r="D117" s="30"/>
      <c r="E117" s="30"/>
      <c r="F117" s="40"/>
      <c r="G117" s="31"/>
      <c r="H117" s="31"/>
      <c r="I117" s="42"/>
      <c r="J117" s="40"/>
      <c r="K117" s="32"/>
      <c r="L117" s="33"/>
      <c r="M117" s="8">
        <f>I117/VLOOKUP(B117,Standards!$A$3:$H$12,3)</f>
        <v>0</v>
      </c>
      <c r="N117" s="27" t="str">
        <f>IF(D117&gt;=1992,I117/VLOOKUP(B117,Standards!$A$3:$H$12,5),"---")</f>
        <v>---</v>
      </c>
      <c r="O117" s="27" t="str">
        <f>IF(D117&gt;=1995,I117/VLOOKUP(B117,Standards!$A$3:$H$12,7),"---")</f>
        <v>---</v>
      </c>
      <c r="P117" s="25" t="str">
        <f>IF((D117&gt;=1995)*AND(F117&gt;94),(I117/Standards!$G$12),"---")</f>
        <v>---</v>
      </c>
    </row>
    <row r="118" spans="1:16" ht="11.25">
      <c r="A118" s="23" t="str">
        <f>IF(2012-D118&lt;18,"Yth",IF(2012-D118&lt;21,"Jun","Sen"))</f>
        <v>Sen</v>
      </c>
      <c r="B118" s="7">
        <f>VLOOKUP(F118,Men__weight_categories,2,TRUE)</f>
        <v>50</v>
      </c>
      <c r="I118" s="42"/>
      <c r="J118" s="40"/>
      <c r="K118" s="48"/>
      <c r="M118" s="8">
        <f>I118/VLOOKUP(B118,Standards!$A$3:$H$12,3)</f>
        <v>0</v>
      </c>
      <c r="N118" s="27" t="str">
        <f>IF(D118&gt;=1992,I118/VLOOKUP(B118,Standards!$A$3:$H$12,5),"---")</f>
        <v>---</v>
      </c>
      <c r="O118" s="27" t="str">
        <f>IF(D118&gt;=1995,I118/VLOOKUP(B118,Standards!$A$3:$H$12,7),"---")</f>
        <v>---</v>
      </c>
      <c r="P118" s="25" t="str">
        <f>IF((D118&gt;=1995)*AND(F118&gt;94),(I118/Standards!$G$12),"---")</f>
        <v>---</v>
      </c>
    </row>
    <row r="119" spans="1:16" ht="11.25">
      <c r="A119" s="23" t="str">
        <f>IF(2012-D119&lt;18,"Yth",IF(2012-D119&lt;21,"Jun","Sen"))</f>
        <v>Sen</v>
      </c>
      <c r="B119" s="7">
        <f>VLOOKUP(F119,Men__weight_categories,2,TRUE)</f>
        <v>50</v>
      </c>
      <c r="I119" s="42"/>
      <c r="J119" s="40"/>
      <c r="K119" s="48"/>
      <c r="M119" s="8">
        <f>I119/VLOOKUP(B119,Standards!$A$3:$H$12,3)</f>
        <v>0</v>
      </c>
      <c r="N119" s="27" t="str">
        <f>IF(D119&gt;=1992,I119/VLOOKUP(B119,Standards!$A$3:$H$12,5),"---")</f>
        <v>---</v>
      </c>
      <c r="O119" s="27" t="str">
        <f>IF(D119&gt;=1995,I119/VLOOKUP(B119,Standards!$A$3:$H$12,7),"---")</f>
        <v>---</v>
      </c>
      <c r="P119" s="25" t="str">
        <f>IF((D119&gt;=1995)*AND(F119&gt;94),(I119/Standards!$G$12),"---")</f>
        <v>---</v>
      </c>
    </row>
    <row r="120" spans="1:16" ht="11.25">
      <c r="A120" s="23" t="str">
        <f>IF(2012-D120&lt;18,"Yth",IF(2012-D120&lt;21,"Jun","Sen"))</f>
        <v>Sen</v>
      </c>
      <c r="B120" s="7">
        <f>VLOOKUP(F120,Men__weight_categories,2,TRUE)</f>
        <v>50</v>
      </c>
      <c r="I120" s="42"/>
      <c r="J120" s="40"/>
      <c r="K120" s="48"/>
      <c r="M120" s="8">
        <f>I120/VLOOKUP(B120,Standards!$A$3:$H$12,3)</f>
        <v>0</v>
      </c>
      <c r="N120" s="27" t="str">
        <f>IF(D120&gt;=1992,I120/VLOOKUP(B120,Standards!$A$3:$H$12,5),"---")</f>
        <v>---</v>
      </c>
      <c r="O120" s="27" t="str">
        <f>IF(D120&gt;=1995,I120/VLOOKUP(B120,Standards!$A$3:$H$12,7),"---")</f>
        <v>---</v>
      </c>
      <c r="P120" s="25" t="str">
        <f>IF((D120&gt;=1995)*AND(F120&gt;94),(I120/Standards!$G$12),"---")</f>
        <v>---</v>
      </c>
    </row>
    <row r="121" spans="1:16" ht="11.25">
      <c r="A121" s="23" t="str">
        <f>IF(2012-D121&lt;18,"Yth",IF(2012-D121&lt;21,"Jun","Sen"))</f>
        <v>Sen</v>
      </c>
      <c r="B121" s="7">
        <f>VLOOKUP(F121,Men__weight_categories,2,TRUE)</f>
        <v>50</v>
      </c>
      <c r="C121" s="49"/>
      <c r="D121" s="50"/>
      <c r="E121" s="33"/>
      <c r="F121" s="57"/>
      <c r="G121" s="53"/>
      <c r="H121" s="53"/>
      <c r="I121" s="42"/>
      <c r="J121" s="40"/>
      <c r="K121" s="48"/>
      <c r="M121" s="8">
        <f>I121/VLOOKUP(B121,Standards!$A$3:$H$12,3)</f>
        <v>0</v>
      </c>
      <c r="N121" s="27" t="str">
        <f>IF(D121&gt;=1992,I121/VLOOKUP(B121,Standards!$A$3:$H$12,5),"---")</f>
        <v>---</v>
      </c>
      <c r="O121" s="27" t="str">
        <f>IF(D121&gt;=1995,I121/VLOOKUP(B121,Standards!$A$3:$H$12,7),"---")</f>
        <v>---</v>
      </c>
      <c r="P121" s="25" t="str">
        <f>IF((D121&gt;=1995)*AND(F121&gt;94),(I121/Standards!$G$12),"---")</f>
        <v>---</v>
      </c>
    </row>
    <row r="122" spans="1:16" ht="11.25">
      <c r="A122" s="23" t="str">
        <f>IF(2012-D122&lt;18,"Yth",IF(2012-D122&lt;21,"Jun","Sen"))</f>
        <v>Sen</v>
      </c>
      <c r="B122" s="7">
        <f>VLOOKUP(F122,Men__weight_categories,2,TRUE)</f>
        <v>50</v>
      </c>
      <c r="C122" s="33"/>
      <c r="D122" s="33"/>
      <c r="E122" s="33"/>
      <c r="F122" s="40"/>
      <c r="G122" s="30"/>
      <c r="H122" s="30"/>
      <c r="I122" s="42"/>
      <c r="J122" s="40"/>
      <c r="K122" s="32"/>
      <c r="L122" s="33"/>
      <c r="M122" s="8">
        <f>I122/VLOOKUP(B122,Standards!$A$3:$H$12,3)</f>
        <v>0</v>
      </c>
      <c r="N122" s="27" t="str">
        <f>IF(D122&gt;=1992,I122/VLOOKUP(B122,Standards!$A$3:$H$12,5),"---")</f>
        <v>---</v>
      </c>
      <c r="O122" s="27" t="str">
        <f>IF(D122&gt;=1995,I122/VLOOKUP(B122,Standards!$A$3:$H$12,7),"---")</f>
        <v>---</v>
      </c>
      <c r="P122" s="25" t="str">
        <f>IF((D122&gt;=1995)*AND(F122&gt;94),(I122/Standards!$G$12),"---")</f>
        <v>---</v>
      </c>
    </row>
    <row r="123" spans="1:16" ht="11.25">
      <c r="A123" s="23" t="str">
        <f>IF(2012-D123&lt;18,"Yth",IF(2012-D123&lt;21,"Jun","Sen"))</f>
        <v>Sen</v>
      </c>
      <c r="B123" s="7">
        <f>VLOOKUP(F123,Men__weight_categories,2,TRUE)</f>
        <v>50</v>
      </c>
      <c r="C123" s="49"/>
      <c r="D123" s="50"/>
      <c r="E123" s="33"/>
      <c r="F123" s="57"/>
      <c r="G123" s="53"/>
      <c r="H123" s="53"/>
      <c r="I123" s="42"/>
      <c r="J123" s="40"/>
      <c r="K123" s="48"/>
      <c r="M123" s="8">
        <f>I123/VLOOKUP(B123,Standards!$A$3:$H$12,3)</f>
        <v>0</v>
      </c>
      <c r="N123" s="27" t="str">
        <f>IF(D123&gt;=1992,I123/VLOOKUP(B123,Standards!$A$3:$H$12,5),"---")</f>
        <v>---</v>
      </c>
      <c r="O123" s="27" t="str">
        <f>IF(D123&gt;=1995,I123/VLOOKUP(B123,Standards!$A$3:$H$12,7),"---")</f>
        <v>---</v>
      </c>
      <c r="P123" s="25" t="str">
        <f>IF((D123&gt;=1995)*AND(F123&gt;94),(I123/Standards!$G$12),"---")</f>
        <v>---</v>
      </c>
    </row>
    <row r="124" spans="1:16" ht="11.25">
      <c r="A124" s="23" t="str">
        <f>IF(2012-D124&lt;18,"Yth",IF(2012-D124&lt;21,"Jun","Sen"))</f>
        <v>Sen</v>
      </c>
      <c r="B124" s="7">
        <f>VLOOKUP(F124,Men__weight_categories,2,TRUE)</f>
        <v>50</v>
      </c>
      <c r="C124" s="29"/>
      <c r="D124" s="30"/>
      <c r="E124" s="30"/>
      <c r="F124" s="40"/>
      <c r="G124" s="31"/>
      <c r="H124" s="31"/>
      <c r="I124" s="42"/>
      <c r="J124" s="40"/>
      <c r="K124" s="32"/>
      <c r="L124" s="33"/>
      <c r="M124" s="8">
        <f>I124/VLOOKUP(B124,Standards!$A$3:$H$12,3)</f>
        <v>0</v>
      </c>
      <c r="N124" s="27" t="str">
        <f>IF(D124&gt;=1992,I124/VLOOKUP(B124,Standards!$A$3:$H$12,5),"---")</f>
        <v>---</v>
      </c>
      <c r="O124" s="27" t="str">
        <f>IF(D124&gt;=1995,I124/VLOOKUP(B124,Standards!$A$3:$H$12,7),"---")</f>
        <v>---</v>
      </c>
      <c r="P124" s="25" t="str">
        <f>IF((D124&gt;=1995)*AND(F124&gt;94),(I124/Standards!$G$12),"---")</f>
        <v>---</v>
      </c>
    </row>
    <row r="125" spans="1:16" ht="11.25">
      <c r="A125" s="23" t="str">
        <f>IF(2012-D125&lt;18,"Yth",IF(2012-D125&lt;21,"Jun","Sen"))</f>
        <v>Sen</v>
      </c>
      <c r="B125" s="7">
        <f>VLOOKUP(F125,Men__weight_categories,2,TRUE)</f>
        <v>50</v>
      </c>
      <c r="C125" s="29"/>
      <c r="D125" s="30"/>
      <c r="E125" s="30"/>
      <c r="F125" s="40"/>
      <c r="G125" s="31"/>
      <c r="H125" s="31"/>
      <c r="I125" s="42"/>
      <c r="J125" s="40"/>
      <c r="K125" s="32"/>
      <c r="L125" s="33"/>
      <c r="M125" s="8">
        <f>I125/VLOOKUP(B125,Standards!$A$3:$H$12,3)</f>
        <v>0</v>
      </c>
      <c r="N125" s="27" t="str">
        <f>IF(D125&gt;=1992,I125/VLOOKUP(B125,Standards!$A$3:$H$12,5),"---")</f>
        <v>---</v>
      </c>
      <c r="O125" s="27" t="str">
        <f>IF(D125&gt;=1995,I125/VLOOKUP(B125,Standards!$A$3:$H$12,7),"---")</f>
        <v>---</v>
      </c>
      <c r="P125" s="25" t="str">
        <f>IF((D125&gt;=1995)*AND(F125&gt;94),(I125/Standards!$G$12),"---")</f>
        <v>---</v>
      </c>
    </row>
    <row r="126" spans="1:16" ht="11.25">
      <c r="A126" s="23" t="str">
        <f>IF(2012-D126&lt;18,"Yth",IF(2012-D126&lt;21,"Jun","Sen"))</f>
        <v>Sen</v>
      </c>
      <c r="B126" s="7">
        <f>VLOOKUP(F126,Men__weight_categories,2,TRUE)</f>
        <v>50</v>
      </c>
      <c r="C126" s="49"/>
      <c r="D126" s="50"/>
      <c r="E126" s="33"/>
      <c r="F126" s="57"/>
      <c r="G126" s="54"/>
      <c r="H126" s="54"/>
      <c r="I126" s="42"/>
      <c r="J126" s="40"/>
      <c r="K126" s="48"/>
      <c r="M126" s="8">
        <f>I126/VLOOKUP(B126,Standards!$A$3:$H$12,3)</f>
        <v>0</v>
      </c>
      <c r="N126" s="27" t="str">
        <f>IF(D126&gt;=1992,I126/VLOOKUP(B126,Standards!$A$3:$H$12,5),"---")</f>
        <v>---</v>
      </c>
      <c r="O126" s="27" t="str">
        <f>IF(D126&gt;=1995,I126/VLOOKUP(B126,Standards!$A$3:$H$12,7),"---")</f>
        <v>---</v>
      </c>
      <c r="P126" s="25" t="str">
        <f>IF((D126&gt;=1995)*AND(F126&gt;94),(I126/Standards!$G$12),"---")</f>
        <v>---</v>
      </c>
    </row>
    <row r="127" spans="1:16" ht="11.25">
      <c r="A127" s="23" t="str">
        <f>IF(2012-D127&lt;18,"Yth",IF(2012-D127&lt;21,"Jun","Sen"))</f>
        <v>Sen</v>
      </c>
      <c r="B127" s="7">
        <f>VLOOKUP(F127,Men__weight_categories,2,TRUE)</f>
        <v>50</v>
      </c>
      <c r="C127" s="34"/>
      <c r="D127" s="35"/>
      <c r="E127" s="36"/>
      <c r="F127" s="41"/>
      <c r="G127" s="37"/>
      <c r="H127" s="37"/>
      <c r="I127" s="42"/>
      <c r="J127" s="40"/>
      <c r="K127" s="32"/>
      <c r="L127" s="33"/>
      <c r="M127" s="8">
        <f>I127/VLOOKUP(B127,Standards!$A$3:$H$12,3)</f>
        <v>0</v>
      </c>
      <c r="N127" s="27" t="str">
        <f>IF(D127&gt;=1992,I127/VLOOKUP(B127,Standards!$A$3:$H$12,5),"---")</f>
        <v>---</v>
      </c>
      <c r="O127" s="27" t="str">
        <f>IF(D127&gt;=1995,I127/VLOOKUP(B127,Standards!$A$3:$H$12,7),"---")</f>
        <v>---</v>
      </c>
      <c r="P127" s="25" t="str">
        <f>IF((D127&gt;=1995)*AND(F127&gt;94),(I127/Standards!$G$12),"---")</f>
        <v>---</v>
      </c>
    </row>
    <row r="128" spans="1:16" ht="11.25">
      <c r="A128" s="23" t="str">
        <f>IF(2012-D128&lt;18,"Yth",IF(2012-D128&lt;21,"Jun","Sen"))</f>
        <v>Sen</v>
      </c>
      <c r="B128" s="7">
        <f>VLOOKUP(F128,Men__weight_categories,2,TRUE)</f>
        <v>50</v>
      </c>
      <c r="C128" s="34"/>
      <c r="D128" s="35"/>
      <c r="E128" s="36"/>
      <c r="F128" s="41"/>
      <c r="G128" s="37"/>
      <c r="H128" s="37"/>
      <c r="I128" s="42"/>
      <c r="J128" s="40"/>
      <c r="K128" s="32"/>
      <c r="L128" s="33"/>
      <c r="M128" s="8">
        <f>I128/VLOOKUP(B128,Standards!$A$3:$H$12,3)</f>
        <v>0</v>
      </c>
      <c r="N128" s="27" t="str">
        <f>IF(D128&gt;=1992,I128/VLOOKUP(B128,Standards!$A$3:$H$12,5),"---")</f>
        <v>---</v>
      </c>
      <c r="O128" s="27" t="str">
        <f>IF(D128&gt;=1995,I128/VLOOKUP(B128,Standards!$A$3:$H$12,7),"---")</f>
        <v>---</v>
      </c>
      <c r="P128" s="25" t="str">
        <f>IF((D128&gt;=1995)*AND(F128&gt;94),(I128/Standards!$G$12),"---")</f>
        <v>---</v>
      </c>
    </row>
    <row r="129" spans="1:16" ht="11.25">
      <c r="A129" s="23" t="str">
        <f>IF(2012-D129&lt;18,"Yth",IF(2012-D129&lt;21,"Jun","Sen"))</f>
        <v>Sen</v>
      </c>
      <c r="B129" s="7">
        <f>VLOOKUP(F129,Men__weight_categories,2,TRUE)</f>
        <v>50</v>
      </c>
      <c r="I129" s="42"/>
      <c r="J129" s="40"/>
      <c r="K129" s="48"/>
      <c r="M129" s="8">
        <f>I129/VLOOKUP(B129,Standards!$A$3:$H$12,3)</f>
        <v>0</v>
      </c>
      <c r="N129" s="27" t="str">
        <f>IF(D129&gt;=1992,I129/VLOOKUP(B129,Standards!$A$3:$H$12,5),"---")</f>
        <v>---</v>
      </c>
      <c r="O129" s="27" t="str">
        <f>IF(D129&gt;=1995,I129/VLOOKUP(B129,Standards!$A$3:$H$12,7),"---")</f>
        <v>---</v>
      </c>
      <c r="P129" s="25" t="str">
        <f>IF((D129&gt;=1995)*AND(F129&gt;94),(I129/Standards!$G$12),"---")</f>
        <v>---</v>
      </c>
    </row>
    <row r="130" spans="1:16" ht="11.25">
      <c r="A130" s="23" t="str">
        <f>IF(2012-D130&lt;18,"Yth",IF(2012-D130&lt;21,"Jun","Sen"))</f>
        <v>Sen</v>
      </c>
      <c r="B130" s="7">
        <f>VLOOKUP(F130,Men__weight_categories,2,TRUE)</f>
        <v>50</v>
      </c>
      <c r="C130" s="33"/>
      <c r="D130" s="33"/>
      <c r="E130" s="33"/>
      <c r="F130" s="40"/>
      <c r="G130" s="30"/>
      <c r="H130" s="30"/>
      <c r="I130" s="42"/>
      <c r="J130" s="40"/>
      <c r="K130" s="32"/>
      <c r="L130" s="33"/>
      <c r="M130" s="8">
        <f>I130/VLOOKUP(B130,Standards!$A$3:$H$12,3)</f>
        <v>0</v>
      </c>
      <c r="N130" s="27" t="str">
        <f>IF(D130&gt;=1992,I130/VLOOKUP(B130,Standards!$A$3:$H$12,5),"---")</f>
        <v>---</v>
      </c>
      <c r="O130" s="27" t="str">
        <f>IF(D130&gt;=1995,I130/VLOOKUP(B130,Standards!$A$3:$H$12,7),"---")</f>
        <v>---</v>
      </c>
      <c r="P130" s="25" t="str">
        <f>IF((D130&gt;=1995)*AND(F130&gt;94),(I130/Standards!$G$12),"---")</f>
        <v>---</v>
      </c>
    </row>
    <row r="131" spans="1:16" ht="11.25">
      <c r="A131" s="23" t="str">
        <f>IF(2012-D131&lt;18,"Yth",IF(2012-D131&lt;21,"Jun","Sen"))</f>
        <v>Sen</v>
      </c>
      <c r="B131" s="7">
        <f>VLOOKUP(F131,Men__weight_categories,2,TRUE)</f>
        <v>50</v>
      </c>
      <c r="C131" s="33"/>
      <c r="D131" s="33"/>
      <c r="E131" s="33"/>
      <c r="F131" s="40"/>
      <c r="G131" s="30"/>
      <c r="H131" s="30"/>
      <c r="I131" s="42"/>
      <c r="J131" s="40"/>
      <c r="K131" s="32"/>
      <c r="L131" s="33"/>
      <c r="M131" s="8">
        <f>I131/VLOOKUP(B131,Standards!$A$3:$H$12,3)</f>
        <v>0</v>
      </c>
      <c r="N131" s="27" t="str">
        <f>IF(D131&gt;=1992,I131/VLOOKUP(B131,Standards!$A$3:$H$12,5),"---")</f>
        <v>---</v>
      </c>
      <c r="O131" s="27" t="str">
        <f>IF(D131&gt;=1995,I131/VLOOKUP(B131,Standards!$A$3:$H$12,7),"---")</f>
        <v>---</v>
      </c>
      <c r="P131" s="25" t="str">
        <f>IF((D131&gt;=1995)*AND(F131&gt;94),(I131/Standards!$G$12),"---")</f>
        <v>---</v>
      </c>
    </row>
    <row r="132" spans="1:16" ht="11.25">
      <c r="A132" s="23" t="str">
        <f>IF(2012-D132&lt;18,"Yth",IF(2012-D132&lt;21,"Jun","Sen"))</f>
        <v>Sen</v>
      </c>
      <c r="B132" s="7">
        <f>VLOOKUP(F132,Men__weight_categories,2,TRUE)</f>
        <v>50</v>
      </c>
      <c r="C132" s="29"/>
      <c r="D132" s="30"/>
      <c r="E132" s="30"/>
      <c r="F132" s="40"/>
      <c r="G132" s="31"/>
      <c r="H132" s="31"/>
      <c r="I132" s="42"/>
      <c r="J132" s="40"/>
      <c r="K132" s="32"/>
      <c r="L132" s="33"/>
      <c r="M132" s="8">
        <f>I132/VLOOKUP(B132,Standards!$A$3:$H$12,3)</f>
        <v>0</v>
      </c>
      <c r="N132" s="27" t="str">
        <f>IF(D132&gt;=1992,I132/VLOOKUP(B132,Standards!$A$3:$H$12,5),"---")</f>
        <v>---</v>
      </c>
      <c r="O132" s="27" t="str">
        <f>IF(D132&gt;=1995,I132/VLOOKUP(B132,Standards!$A$3:$H$12,7),"---")</f>
        <v>---</v>
      </c>
      <c r="P132" s="25" t="str">
        <f>IF((D132&gt;=1995)*AND(F132&gt;94),(I132/Standards!$G$12),"---")</f>
        <v>---</v>
      </c>
    </row>
    <row r="133" spans="1:16" ht="11.25">
      <c r="A133" s="23" t="str">
        <f>IF(2012-D133&lt;18,"Yth",IF(2012-D133&lt;21,"Jun","Sen"))</f>
        <v>Sen</v>
      </c>
      <c r="B133" s="7">
        <f>VLOOKUP(F133,Men__weight_categories,2,TRUE)</f>
        <v>50</v>
      </c>
      <c r="C133" s="52"/>
      <c r="D133" s="50"/>
      <c r="E133" s="50"/>
      <c r="F133" s="57"/>
      <c r="G133" s="53"/>
      <c r="H133" s="53"/>
      <c r="I133" s="42"/>
      <c r="J133" s="40"/>
      <c r="K133" s="48"/>
      <c r="M133" s="8">
        <f>I133/VLOOKUP(B133,Standards!$A$3:$H$12,3)</f>
        <v>0</v>
      </c>
      <c r="N133" s="27" t="str">
        <f>IF(D133&gt;=1992,I133/VLOOKUP(B133,Standards!$A$3:$H$12,5),"---")</f>
        <v>---</v>
      </c>
      <c r="O133" s="27" t="str">
        <f>IF(D133&gt;=1995,I133/VLOOKUP(B133,Standards!$A$3:$H$12,7),"---")</f>
        <v>---</v>
      </c>
      <c r="P133" s="25" t="str">
        <f>IF((D133&gt;=1995)*AND(F133&gt;94),(I133/Standards!$G$12),"---")</f>
        <v>---</v>
      </c>
    </row>
    <row r="134" spans="1:16" ht="11.25">
      <c r="A134" s="23" t="str">
        <f>IF(2012-D134&lt;18,"Yth",IF(2012-D134&lt;21,"Jun","Sen"))</f>
        <v>Sen</v>
      </c>
      <c r="B134" s="7">
        <f>VLOOKUP(F134,Men__weight_categories,2,TRUE)</f>
        <v>50</v>
      </c>
      <c r="C134" s="29"/>
      <c r="D134" s="30"/>
      <c r="E134" s="30"/>
      <c r="F134" s="40"/>
      <c r="G134" s="31"/>
      <c r="H134" s="31"/>
      <c r="I134" s="42"/>
      <c r="J134" s="40"/>
      <c r="K134" s="32"/>
      <c r="L134" s="33"/>
      <c r="M134" s="8">
        <f>I134/VLOOKUP(B134,Standards!$A$3:$H$12,3)</f>
        <v>0</v>
      </c>
      <c r="N134" s="27" t="str">
        <f>IF(D134&gt;=1992,I134/VLOOKUP(B134,Standards!$A$3:$H$12,5),"---")</f>
        <v>---</v>
      </c>
      <c r="O134" s="27" t="str">
        <f>IF(D134&gt;=1995,I134/VLOOKUP(B134,Standards!$A$3:$H$12,7),"---")</f>
        <v>---</v>
      </c>
      <c r="P134" s="25" t="str">
        <f>IF((D134&gt;=1995)*AND(F134&gt;94),(I134/Standards!$G$12),"---")</f>
        <v>---</v>
      </c>
    </row>
    <row r="135" spans="1:16" ht="11.25">
      <c r="A135" s="23" t="str">
        <f>IF(2012-D135&lt;18,"Yth",IF(2012-D135&lt;21,"Jun","Sen"))</f>
        <v>Sen</v>
      </c>
      <c r="B135" s="7">
        <f>VLOOKUP(F135,Men__weight_categories,2,TRUE)</f>
        <v>50</v>
      </c>
      <c r="C135" s="49"/>
      <c r="D135" s="50"/>
      <c r="E135" s="50"/>
      <c r="F135" s="57"/>
      <c r="G135" s="54"/>
      <c r="H135" s="54"/>
      <c r="I135" s="42"/>
      <c r="J135" s="40"/>
      <c r="K135" s="48"/>
      <c r="M135" s="8">
        <f>I135/VLOOKUP(B135,Standards!$A$3:$H$12,3)</f>
        <v>0</v>
      </c>
      <c r="N135" s="27" t="str">
        <f>IF(D135&gt;=1992,I135/VLOOKUP(B135,Standards!$A$3:$H$12,5),"---")</f>
        <v>---</v>
      </c>
      <c r="O135" s="27" t="str">
        <f>IF(D135&gt;=1995,I135/VLOOKUP(B135,Standards!$A$3:$H$12,7),"---")</f>
        <v>---</v>
      </c>
      <c r="P135" s="25" t="str">
        <f>IF((D135&gt;=1995)*AND(F135&gt;94),(I135/Standards!$G$12),"---")</f>
        <v>---</v>
      </c>
    </row>
    <row r="136" spans="1:16" ht="11.25">
      <c r="A136" s="23" t="str">
        <f>IF(2012-D136&lt;18,"Yth",IF(2012-D136&lt;21,"Jun","Sen"))</f>
        <v>Sen</v>
      </c>
      <c r="B136" s="7">
        <f>VLOOKUP(F136,Men__weight_categories,2,TRUE)</f>
        <v>50</v>
      </c>
      <c r="C136" s="33"/>
      <c r="D136" s="33"/>
      <c r="E136" s="33"/>
      <c r="F136" s="40"/>
      <c r="G136" s="30"/>
      <c r="H136" s="30"/>
      <c r="I136" s="42"/>
      <c r="J136" s="40"/>
      <c r="K136" s="32"/>
      <c r="L136" s="33"/>
      <c r="M136" s="8">
        <f>I136/VLOOKUP(B136,Standards!$A$3:$H$12,3)</f>
        <v>0</v>
      </c>
      <c r="N136" s="27" t="str">
        <f>IF(D136&gt;=1992,I136/VLOOKUP(B136,Standards!$A$3:$H$12,5),"---")</f>
        <v>---</v>
      </c>
      <c r="O136" s="27" t="str">
        <f>IF(D136&gt;=1995,I136/VLOOKUP(B136,Standards!$A$3:$H$12,7),"---")</f>
        <v>---</v>
      </c>
      <c r="P136" s="25" t="str">
        <f>IF((D136&gt;=1995)*AND(F136&gt;94),(I136/Standards!$G$12),"---")</f>
        <v>---</v>
      </c>
    </row>
    <row r="137" spans="1:16" ht="11.25">
      <c r="A137" s="23" t="str">
        <f>IF(2012-D137&lt;18,"Yth",IF(2012-D137&lt;21,"Jun","Sen"))</f>
        <v>Sen</v>
      </c>
      <c r="B137" s="7">
        <f>VLOOKUP(F137,Men__weight_categories,2,TRUE)</f>
        <v>50</v>
      </c>
      <c r="C137" s="49"/>
      <c r="D137" s="50"/>
      <c r="E137" s="50"/>
      <c r="F137" s="57"/>
      <c r="G137" s="53"/>
      <c r="H137" s="53"/>
      <c r="I137" s="42"/>
      <c r="J137" s="40"/>
      <c r="K137" s="48"/>
      <c r="M137" s="8">
        <f>I137/VLOOKUP(B137,Standards!$A$3:$H$12,3)</f>
        <v>0</v>
      </c>
      <c r="N137" s="27" t="str">
        <f>IF(D137&gt;=1992,I137/VLOOKUP(B137,Standards!$A$3:$H$12,5),"---")</f>
        <v>---</v>
      </c>
      <c r="O137" s="27" t="str">
        <f>IF(D137&gt;=1995,I137/VLOOKUP(B137,Standards!$A$3:$H$12,7),"---")</f>
        <v>---</v>
      </c>
      <c r="P137" s="25" t="str">
        <f>IF((D137&gt;=1995)*AND(F137&gt;94),(I137/Standards!$G$12),"---")</f>
        <v>---</v>
      </c>
    </row>
    <row r="138" spans="1:16" ht="11.25">
      <c r="A138" s="23" t="str">
        <f>IF(2012-D138&lt;18,"Yth",IF(2012-D138&lt;21,"Jun","Sen"))</f>
        <v>Sen</v>
      </c>
      <c r="B138" s="7">
        <f>VLOOKUP(F138,Men__weight_categories,2,TRUE)</f>
        <v>50</v>
      </c>
      <c r="C138" s="29"/>
      <c r="D138" s="30"/>
      <c r="E138" s="30"/>
      <c r="F138" s="40"/>
      <c r="G138" s="31"/>
      <c r="H138" s="31"/>
      <c r="I138" s="42"/>
      <c r="J138" s="40"/>
      <c r="K138" s="32"/>
      <c r="L138" s="33"/>
      <c r="M138" s="8">
        <f>I138/VLOOKUP(B138,Standards!$A$3:$H$12,3)</f>
        <v>0</v>
      </c>
      <c r="N138" s="27" t="str">
        <f>IF(D138&gt;=1992,I138/VLOOKUP(B138,Standards!$A$3:$H$12,5),"---")</f>
        <v>---</v>
      </c>
      <c r="O138" s="27" t="str">
        <f>IF(D138&gt;=1995,I138/VLOOKUP(B138,Standards!$A$3:$H$12,7),"---")</f>
        <v>---</v>
      </c>
      <c r="P138" s="25" t="str">
        <f>IF((D138&gt;=1995)*AND(F138&gt;94),(I138/Standards!$G$12),"---")</f>
        <v>---</v>
      </c>
    </row>
    <row r="139" spans="1:16" ht="11.25">
      <c r="A139" s="23" t="str">
        <f>IF(2012-D139&lt;18,"Yth",IF(2012-D139&lt;21,"Jun","Sen"))</f>
        <v>Sen</v>
      </c>
      <c r="B139" s="7">
        <f>VLOOKUP(F139,Men__weight_categories,2,TRUE)</f>
        <v>50</v>
      </c>
      <c r="C139" s="34"/>
      <c r="D139" s="35"/>
      <c r="E139" s="36"/>
      <c r="F139" s="41"/>
      <c r="G139" s="37"/>
      <c r="H139" s="37"/>
      <c r="I139" s="42"/>
      <c r="J139" s="40"/>
      <c r="K139" s="32"/>
      <c r="L139" s="33"/>
      <c r="M139" s="8">
        <f>I139/VLOOKUP(B139,Standards!$A$3:$H$12,3)</f>
        <v>0</v>
      </c>
      <c r="N139" s="27" t="str">
        <f>IF(D139&gt;=1992,I139/VLOOKUP(B139,Standards!$A$3:$H$12,5),"---")</f>
        <v>---</v>
      </c>
      <c r="O139" s="27" t="str">
        <f>IF(D139&gt;=1995,I139/VLOOKUP(B139,Standards!$A$3:$H$12,7),"---")</f>
        <v>---</v>
      </c>
      <c r="P139" s="25" t="str">
        <f>IF((D139&gt;=1995)*AND(F139&gt;94),(I139/Standards!$G$12),"---")</f>
        <v>---</v>
      </c>
    </row>
    <row r="140" spans="1:16" ht="11.25">
      <c r="A140" s="23" t="str">
        <f>IF(2012-D140&lt;18,"Yth",IF(2012-D140&lt;21,"Jun","Sen"))</f>
        <v>Sen</v>
      </c>
      <c r="B140" s="7">
        <f>VLOOKUP(F140,Men__weight_categories,2,TRUE)</f>
        <v>50</v>
      </c>
      <c r="C140" s="62"/>
      <c r="D140" s="63"/>
      <c r="E140" s="36"/>
      <c r="F140" s="41"/>
      <c r="G140" s="37"/>
      <c r="H140" s="37"/>
      <c r="I140" s="42"/>
      <c r="J140" s="40"/>
      <c r="K140" s="32"/>
      <c r="L140" s="33"/>
      <c r="M140" s="8">
        <f>I140/VLOOKUP(B140,Standards!$A$3:$H$12,3)</f>
        <v>0</v>
      </c>
      <c r="N140" s="27" t="str">
        <f>IF(D140&gt;=1992,I140/VLOOKUP(B140,Standards!$A$3:$H$12,5),"---")</f>
        <v>---</v>
      </c>
      <c r="O140" s="27" t="str">
        <f>IF(D140&gt;=1995,I140/VLOOKUP(B140,Standards!$A$3:$H$12,7),"---")</f>
        <v>---</v>
      </c>
      <c r="P140" s="25" t="str">
        <f>IF((D140&gt;=1995)*AND(F140&gt;94),(I140/Standards!$G$12),"---")</f>
        <v>---</v>
      </c>
    </row>
    <row r="141" ht="11.25">
      <c r="A141" s="23" t="str">
        <f>IF(2012-D141&lt;18,"Yth",IF(2012-D141&lt;21,"Jun","Sen"))</f>
        <v>Sen</v>
      </c>
    </row>
  </sheetData>
  <sheetProtection/>
  <conditionalFormatting sqref="A2:A141">
    <cfRule type="containsText" priority="10" dxfId="0" operator="containsText" text="Jun">
      <formula>NOT(ISERROR(SEARCH("Jun",A2)))</formula>
    </cfRule>
  </conditionalFormatting>
  <conditionalFormatting sqref="A2:A141">
    <cfRule type="containsText" priority="9" dxfId="1" operator="containsText" text="Yth">
      <formula>NOT(ISERROR(SEARCH("Yth",A2)))</formula>
    </cfRule>
  </conditionalFormatting>
  <dataValidations count="2">
    <dataValidation type="decimal" allowBlank="1" showInputMessage="1" showErrorMessage="1" promptTitle="Enter the lifter's bodyweight" prompt="The bodyweight must be between 10.00 and 999.99." errorTitle="Bodyweight error" error="The lifter's bodyweight must be between 10.00 and 999.99." sqref="F114 F67 F84 F131">
      <formula1>10</formula1>
      <formula2>999.99</formula2>
    </dataValidation>
    <dataValidation type="decimal" showInputMessage="1" showErrorMessage="1" promptTitle="Enter the lifter's bodyweight" prompt="The bodyweight must be between 10.00 and 999.99." errorTitle="Bodyweight error" error="The lifter's bodyweight must be between 10.00 and 999.99." sqref="F115:F130 F68:F83 F85:F97 F132:F140">
      <formula1>1</formula1>
      <formula2>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4.8515625" style="24" bestFit="1" customWidth="1"/>
    <col min="2" max="2" width="4.421875" style="24" bestFit="1" customWidth="1"/>
    <col min="3" max="3" width="14.28125" style="24" bestFit="1" customWidth="1"/>
    <col min="4" max="4" width="5.00390625" style="24" bestFit="1" customWidth="1"/>
    <col min="5" max="5" width="4.57421875" style="24" bestFit="1" customWidth="1"/>
    <col min="6" max="6" width="6.57421875" style="56" bestFit="1" customWidth="1"/>
    <col min="7" max="7" width="5.8515625" style="47" bestFit="1" customWidth="1"/>
    <col min="8" max="8" width="5.57421875" style="47" bestFit="1" customWidth="1"/>
    <col min="9" max="9" width="4.28125" style="47" bestFit="1" customWidth="1"/>
    <col min="10" max="10" width="6.57421875" style="56" bestFit="1" customWidth="1"/>
    <col min="11" max="11" width="8.7109375" style="24" bestFit="1" customWidth="1"/>
    <col min="12" max="12" width="41.8515625" style="24" bestFit="1" customWidth="1"/>
    <col min="13" max="16384" width="9.140625" style="24" customWidth="1"/>
  </cols>
  <sheetData>
    <row r="1" spans="1:13" s="3" customFormat="1" ht="11.25">
      <c r="A1" s="28" t="s">
        <v>4</v>
      </c>
      <c r="B1" s="28" t="s">
        <v>22</v>
      </c>
      <c r="C1" s="3" t="s">
        <v>0</v>
      </c>
      <c r="D1" s="4" t="s">
        <v>2</v>
      </c>
      <c r="E1" s="3" t="s">
        <v>10</v>
      </c>
      <c r="F1" s="55" t="s">
        <v>11</v>
      </c>
      <c r="G1" s="58" t="s">
        <v>3</v>
      </c>
      <c r="H1" s="58" t="s">
        <v>12</v>
      </c>
      <c r="I1" s="58" t="s">
        <v>1</v>
      </c>
      <c r="J1" s="55" t="s">
        <v>13</v>
      </c>
      <c r="K1" s="3" t="s">
        <v>14</v>
      </c>
      <c r="L1" s="3" t="s">
        <v>15</v>
      </c>
      <c r="M1" s="7" t="s">
        <v>18</v>
      </c>
    </row>
    <row r="2" spans="1:13" s="3" customFormat="1" ht="11.25">
      <c r="A2" s="23" t="str">
        <f aca="true" t="shared" si="0" ref="A2:A42">IF(2012-D2&lt;18,"Yth",IF(2012-D2&lt;21,"Jun","Sen"))</f>
        <v>Jun</v>
      </c>
      <c r="B2" s="7">
        <f>VLOOKUP(F2,Men__weight_categories,2,TRUE)</f>
        <v>69</v>
      </c>
      <c r="C2" s="26" t="s">
        <v>45</v>
      </c>
      <c r="D2" s="64">
        <v>1993</v>
      </c>
      <c r="E2" s="65" t="s">
        <v>46</v>
      </c>
      <c r="F2" s="66">
        <v>69</v>
      </c>
      <c r="G2" s="64">
        <v>94</v>
      </c>
      <c r="H2" s="64">
        <v>118</v>
      </c>
      <c r="I2" s="64">
        <f>SUM(G2:H2)</f>
        <v>212</v>
      </c>
      <c r="J2" s="66">
        <f>I2*IF(F2&gt;173.961,1,10^(0.784780654*LOG(F2/173.961)^2))</f>
        <v>283.73248504085996</v>
      </c>
      <c r="K2" s="68">
        <v>40810</v>
      </c>
      <c r="L2" s="26" t="s">
        <v>73</v>
      </c>
      <c r="M2" s="27">
        <f>IF(D2&gt;=1992,I2/VLOOKUP(B2,Standards!$A$3:$H$12,5),"---")</f>
        <v>1.0341463414634147</v>
      </c>
    </row>
    <row r="3" spans="1:13" s="3" customFormat="1" ht="11.25">
      <c r="A3" s="23" t="str">
        <f t="shared" si="0"/>
        <v>Jun</v>
      </c>
      <c r="B3" s="7">
        <f>VLOOKUP(F3,Men__weight_categories,2,TRUE)</f>
        <v>85</v>
      </c>
      <c r="C3" s="26" t="s">
        <v>56</v>
      </c>
      <c r="D3" s="64">
        <v>1992</v>
      </c>
      <c r="E3" s="65" t="s">
        <v>30</v>
      </c>
      <c r="F3" s="66">
        <v>83.8</v>
      </c>
      <c r="G3" s="64">
        <v>105</v>
      </c>
      <c r="H3" s="64">
        <v>130</v>
      </c>
      <c r="I3" s="64">
        <f>SUM(G3:H3)</f>
        <v>235</v>
      </c>
      <c r="J3" s="71">
        <f>I3*IF(F3&gt;173.961,1,10^(0.784780654*LOG(F3/173.961)^2))</f>
        <v>281.859805989303</v>
      </c>
      <c r="K3" s="68">
        <v>40810</v>
      </c>
      <c r="L3" s="26" t="s">
        <v>73</v>
      </c>
      <c r="M3" s="27">
        <f>IF(D3&gt;=1992,I3/VLOOKUP(B3,Standards!$A$3:$H$12,5),"---")</f>
        <v>0.9832635983263598</v>
      </c>
    </row>
    <row r="4" spans="1:13" s="3" customFormat="1" ht="11.25">
      <c r="A4" s="23" t="str">
        <f t="shared" si="0"/>
        <v>Jun</v>
      </c>
      <c r="B4" s="7">
        <f>VLOOKUP(F4,Men__weight_categories,2,TRUE)</f>
        <v>77</v>
      </c>
      <c r="C4" s="26" t="s">
        <v>55</v>
      </c>
      <c r="D4" s="64">
        <v>1993</v>
      </c>
      <c r="E4" s="65" t="s">
        <v>30</v>
      </c>
      <c r="F4" s="66">
        <v>76.5</v>
      </c>
      <c r="G4" s="64">
        <v>102</v>
      </c>
      <c r="H4" s="64">
        <v>122</v>
      </c>
      <c r="I4" s="64">
        <f>SUM(G4:H4)</f>
        <v>224</v>
      </c>
      <c r="J4" s="66">
        <f>I4*IF(F4&gt;173.961,1,10^(0.784780654*LOG(F4/173.961)^2))</f>
        <v>281.9357510102171</v>
      </c>
      <c r="K4" s="68">
        <v>40810</v>
      </c>
      <c r="L4" s="26" t="s">
        <v>73</v>
      </c>
      <c r="M4" s="27">
        <f>IF(D4&gt;=1992,I4/VLOOKUP(B4,Standards!$A$3:$H$12,5),"---")</f>
        <v>0.9781659388646288</v>
      </c>
    </row>
    <row r="5" spans="1:13" s="3" customFormat="1" ht="11.25">
      <c r="A5" s="23" t="str">
        <f t="shared" si="0"/>
        <v>Jun</v>
      </c>
      <c r="B5" s="7">
        <f>VLOOKUP(F5,Men__weight_categories,2,TRUE)</f>
        <v>85</v>
      </c>
      <c r="C5" s="26" t="s">
        <v>84</v>
      </c>
      <c r="D5" s="64">
        <v>1992</v>
      </c>
      <c r="E5" s="65" t="s">
        <v>32</v>
      </c>
      <c r="F5" s="66">
        <v>83.8</v>
      </c>
      <c r="G5" s="64">
        <v>95</v>
      </c>
      <c r="H5" s="64">
        <v>113</v>
      </c>
      <c r="I5" s="64">
        <f>SUM(G5:H5)</f>
        <v>208</v>
      </c>
      <c r="J5" s="71">
        <f>I5*IF(F5&gt;173.961,1,10^(0.784780654*LOG(F5/173.961)^2))</f>
        <v>249.47591338627674</v>
      </c>
      <c r="K5" s="68">
        <v>40810</v>
      </c>
      <c r="L5" s="26" t="s">
        <v>73</v>
      </c>
      <c r="M5" s="27">
        <f>IF(D5&gt;=1992,I5/VLOOKUP(B5,Standards!$A$3:$H$12,5),"---")</f>
        <v>0.8702928870292888</v>
      </c>
    </row>
    <row r="6" spans="1:13" s="3" customFormat="1" ht="11.25">
      <c r="A6" s="23" t="str">
        <f t="shared" si="0"/>
        <v>Yth</v>
      </c>
      <c r="B6" s="7">
        <f>VLOOKUP(F6,Men__weight_categories,2,TRUE)</f>
        <v>56</v>
      </c>
      <c r="C6" s="26" t="s">
        <v>39</v>
      </c>
      <c r="D6" s="64">
        <v>1996</v>
      </c>
      <c r="E6" s="65" t="s">
        <v>9</v>
      </c>
      <c r="F6" s="66">
        <v>54</v>
      </c>
      <c r="G6" s="64">
        <v>62</v>
      </c>
      <c r="H6" s="64">
        <v>85</v>
      </c>
      <c r="I6" s="64">
        <f>SUM(G6:H6)</f>
        <v>147</v>
      </c>
      <c r="J6" s="69">
        <f>I6*IF(F6&gt;173.961,1,10^(0.784780654*LOG(F6/173.961)^2))</f>
        <v>234.36207031324196</v>
      </c>
      <c r="K6" s="68">
        <v>40810</v>
      </c>
      <c r="L6" s="26" t="s">
        <v>73</v>
      </c>
      <c r="M6" s="27">
        <f>IF(D6&gt;=1992,I6/VLOOKUP(B6,Standards!$A$3:$H$12,5),"---")</f>
        <v>0.8596491228070176</v>
      </c>
    </row>
    <row r="7" spans="1:13" s="3" customFormat="1" ht="11.25">
      <c r="A7" s="23" t="str">
        <f t="shared" si="0"/>
        <v>Yth</v>
      </c>
      <c r="B7" s="7">
        <f>VLOOKUP(F7,Men__weight_categories,2,TRUE)</f>
        <v>69</v>
      </c>
      <c r="C7" s="26" t="s">
        <v>53</v>
      </c>
      <c r="D7" s="64">
        <v>1996</v>
      </c>
      <c r="E7" s="65" t="s">
        <v>9</v>
      </c>
      <c r="F7" s="66">
        <v>67.5</v>
      </c>
      <c r="G7" s="64">
        <v>76</v>
      </c>
      <c r="H7" s="64">
        <v>100</v>
      </c>
      <c r="I7" s="64">
        <f>SUM(G7:H7)</f>
        <v>176</v>
      </c>
      <c r="J7" s="66">
        <f>I7*IF(F7&gt;173.961,1,10^(0.784780654*LOG(F7/173.961)^2))</f>
        <v>238.87690874099565</v>
      </c>
      <c r="K7" s="68">
        <v>40810</v>
      </c>
      <c r="L7" s="26" t="s">
        <v>73</v>
      </c>
      <c r="M7" s="27">
        <f>IF(D7&gt;=1992,I7/VLOOKUP(B7,Standards!$A$3:$H$12,5),"---")</f>
        <v>0.8585365853658536</v>
      </c>
    </row>
    <row r="8" spans="1:13" s="3" customFormat="1" ht="11.25">
      <c r="A8" s="23" t="str">
        <f t="shared" si="0"/>
        <v>Jun</v>
      </c>
      <c r="B8" s="7">
        <f>VLOOKUP(F8,Men__weight_categories,2,TRUE)</f>
        <v>85</v>
      </c>
      <c r="C8" s="26" t="s">
        <v>43</v>
      </c>
      <c r="D8" s="64">
        <v>1993</v>
      </c>
      <c r="E8" s="65" t="s">
        <v>9</v>
      </c>
      <c r="F8" s="66">
        <v>79.2</v>
      </c>
      <c r="G8" s="64">
        <v>92</v>
      </c>
      <c r="H8" s="64">
        <v>113</v>
      </c>
      <c r="I8" s="64">
        <f>SUM(G8:H8)</f>
        <v>205</v>
      </c>
      <c r="J8" s="71">
        <f>I8*IF(F8&gt;173.961,1,10^(0.784780654*LOG(F8/173.961)^2))</f>
        <v>253.16187693041124</v>
      </c>
      <c r="K8" s="68">
        <v>40810</v>
      </c>
      <c r="L8" s="26" t="s">
        <v>73</v>
      </c>
      <c r="M8" s="27">
        <f>IF(D8&gt;=1992,I8/VLOOKUP(B8,Standards!$A$3:$H$12,5),"---")</f>
        <v>0.8577405857740585</v>
      </c>
    </row>
    <row r="9" spans="1:13" ht="11.25">
      <c r="A9" s="23" t="str">
        <f t="shared" si="0"/>
        <v>Jun</v>
      </c>
      <c r="B9" s="7">
        <f>VLOOKUP(F9,Men__weight_categories,2,TRUE)</f>
        <v>77</v>
      </c>
      <c r="C9" s="26" t="s">
        <v>37</v>
      </c>
      <c r="D9" s="64">
        <v>1994</v>
      </c>
      <c r="E9" s="65" t="s">
        <v>9</v>
      </c>
      <c r="F9" s="66">
        <v>76.9</v>
      </c>
      <c r="G9" s="64">
        <v>91</v>
      </c>
      <c r="H9" s="64">
        <v>105</v>
      </c>
      <c r="I9" s="64">
        <f>SUM(G9:H9)</f>
        <v>196</v>
      </c>
      <c r="J9" s="66">
        <f>I9*IF(F9&gt;173.961,1,10^(0.784780654*LOG(F9/173.961)^2))</f>
        <v>245.97664422788657</v>
      </c>
      <c r="K9" s="68">
        <v>40810</v>
      </c>
      <c r="L9" s="26" t="s">
        <v>73</v>
      </c>
      <c r="M9" s="27">
        <f>IF(D9&gt;=1992,I9/VLOOKUP(B9,Standards!$A$3:$H$12,5),"---")</f>
        <v>0.8558951965065502</v>
      </c>
    </row>
    <row r="10" spans="1:13" ht="11.25">
      <c r="A10" s="23" t="str">
        <f t="shared" si="0"/>
        <v>Jun</v>
      </c>
      <c r="B10" s="7">
        <f>VLOOKUP(F10,Men__weight_categories,2,TRUE)</f>
        <v>69</v>
      </c>
      <c r="C10" s="26" t="s">
        <v>44</v>
      </c>
      <c r="D10" s="64">
        <v>1992</v>
      </c>
      <c r="E10" s="65" t="s">
        <v>9</v>
      </c>
      <c r="F10" s="66">
        <v>65.15</v>
      </c>
      <c r="G10" s="64">
        <v>70</v>
      </c>
      <c r="H10" s="64">
        <v>105</v>
      </c>
      <c r="I10" s="64">
        <f>SUM(G10:H10)</f>
        <v>175</v>
      </c>
      <c r="J10" s="66">
        <f>I10*IF(F10&gt;173.961,1,10^(0.784780654*LOG(F10/173.961)^2))</f>
        <v>243.11765788844528</v>
      </c>
      <c r="K10" s="68">
        <v>40810</v>
      </c>
      <c r="L10" s="26" t="s">
        <v>73</v>
      </c>
      <c r="M10" s="27">
        <f>IF(D10&gt;=1992,I10/VLOOKUP(B10,Standards!$A$3:$H$12,5),"---")</f>
        <v>0.8536585365853658</v>
      </c>
    </row>
    <row r="11" spans="1:13" ht="11.25">
      <c r="A11" s="23" t="str">
        <f t="shared" si="0"/>
        <v>Jun</v>
      </c>
      <c r="B11" s="7">
        <f>VLOOKUP(F11,Men__weight_categories,2,TRUE)</f>
        <v>69</v>
      </c>
      <c r="C11" s="26" t="s">
        <v>81</v>
      </c>
      <c r="D11" s="64">
        <v>1994</v>
      </c>
      <c r="E11" s="65" t="s">
        <v>9</v>
      </c>
      <c r="F11" s="66">
        <v>65.15</v>
      </c>
      <c r="G11" s="64">
        <v>72</v>
      </c>
      <c r="H11" s="64">
        <v>100</v>
      </c>
      <c r="I11" s="64">
        <f>SUM(G11:H11)</f>
        <v>172</v>
      </c>
      <c r="J11" s="66">
        <f>I11*IF(F11&gt;173.961,1,10^(0.784780654*LOG(F11/173.961)^2))</f>
        <v>238.94992661035764</v>
      </c>
      <c r="K11" s="68">
        <v>40810</v>
      </c>
      <c r="L11" s="26" t="s">
        <v>73</v>
      </c>
      <c r="M11" s="27">
        <f>IF(D11&gt;=1992,I11/VLOOKUP(B11,Standards!$A$3:$H$12,5),"---")</f>
        <v>0.8390243902439024</v>
      </c>
    </row>
    <row r="12" spans="1:13" ht="11.25">
      <c r="A12" s="23" t="str">
        <f t="shared" si="0"/>
        <v>Yth</v>
      </c>
      <c r="B12" s="7">
        <f>VLOOKUP(F12,Men__weight_categories,2,TRUE)</f>
        <v>56</v>
      </c>
      <c r="C12" s="26" t="s">
        <v>39</v>
      </c>
      <c r="D12" s="64">
        <v>1996</v>
      </c>
      <c r="E12" s="65" t="s">
        <v>9</v>
      </c>
      <c r="F12" s="66">
        <v>54.2</v>
      </c>
      <c r="G12" s="64">
        <v>61</v>
      </c>
      <c r="H12" s="64">
        <v>82</v>
      </c>
      <c r="I12" s="64">
        <f>SUM(G12:H12)</f>
        <v>143</v>
      </c>
      <c r="J12" s="66">
        <f>I12*IF(F12&gt;173.961,1,10^(0.784780654*LOG(F12/173.961)^2))</f>
        <v>227.31482420112164</v>
      </c>
      <c r="K12" s="68">
        <v>40809</v>
      </c>
      <c r="L12" s="26" t="s">
        <v>68</v>
      </c>
      <c r="M12" s="27">
        <f>IF(D12&gt;=1992,I12/VLOOKUP(B12,Standards!$A$3:$H$12,5),"---")</f>
        <v>0.8362573099415205</v>
      </c>
    </row>
    <row r="13" spans="1:13" ht="11.25">
      <c r="A13" s="23" t="str">
        <f t="shared" si="0"/>
        <v>Yth</v>
      </c>
      <c r="B13" s="7">
        <f>VLOOKUP(F13,Men__weight_categories,2,TRUE)</f>
        <v>56</v>
      </c>
      <c r="C13" s="26" t="s">
        <v>61</v>
      </c>
      <c r="D13" s="64">
        <v>1995</v>
      </c>
      <c r="E13" s="65" t="s">
        <v>30</v>
      </c>
      <c r="F13" s="66">
        <v>54.15</v>
      </c>
      <c r="G13" s="64">
        <v>61</v>
      </c>
      <c r="H13" s="64">
        <v>78</v>
      </c>
      <c r="I13" s="64">
        <f>SUM(G13:H13)</f>
        <v>139</v>
      </c>
      <c r="J13" s="69">
        <f>I13*IF(F13&gt;173.961,1,10^(0.784780654*LOG(F13/173.961)^2))</f>
        <v>221.1185956274535</v>
      </c>
      <c r="K13" s="68">
        <v>40810</v>
      </c>
      <c r="L13" s="26" t="s">
        <v>73</v>
      </c>
      <c r="M13" s="27">
        <f>IF(D13&gt;=1992,I13/VLOOKUP(B13,Standards!$A$3:$H$12,5),"---")</f>
        <v>0.8128654970760234</v>
      </c>
    </row>
    <row r="14" spans="1:13" ht="11.25">
      <c r="A14" s="23" t="str">
        <f t="shared" si="0"/>
        <v>Yth</v>
      </c>
      <c r="B14" s="7">
        <f>VLOOKUP(F14,Men__weight_categories,2,TRUE)</f>
        <v>62</v>
      </c>
      <c r="C14" s="26" t="s">
        <v>75</v>
      </c>
      <c r="D14" s="64">
        <v>1996</v>
      </c>
      <c r="E14" s="65" t="s">
        <v>32</v>
      </c>
      <c r="F14" s="66">
        <v>58.2</v>
      </c>
      <c r="G14" s="64">
        <v>65</v>
      </c>
      <c r="H14" s="64">
        <v>90</v>
      </c>
      <c r="I14" s="64">
        <f>SUM(G14:H14)</f>
        <v>155</v>
      </c>
      <c r="J14" s="66">
        <f>I14*IF(F14&gt;173.961,1,10^(0.784780654*LOG(F14/173.961)^2))</f>
        <v>233.23427779082797</v>
      </c>
      <c r="K14" s="68">
        <v>40809</v>
      </c>
      <c r="L14" s="26" t="s">
        <v>68</v>
      </c>
      <c r="M14" s="27">
        <f>IF(D14&gt;=1992,I14/VLOOKUP(B14,Standards!$A$3:$H$12,5),"---")</f>
        <v>0.8031088082901554</v>
      </c>
    </row>
    <row r="15" spans="1:13" ht="11.25">
      <c r="A15" s="23" t="str">
        <f t="shared" si="0"/>
        <v>Jun</v>
      </c>
      <c r="B15" s="7">
        <f>VLOOKUP(F15,Men__weight_categories,2,TRUE)</f>
        <v>105</v>
      </c>
      <c r="C15" s="26" t="s">
        <v>62</v>
      </c>
      <c r="D15" s="64">
        <v>1994</v>
      </c>
      <c r="E15" s="65" t="s">
        <v>35</v>
      </c>
      <c r="F15" s="66">
        <v>101.55</v>
      </c>
      <c r="G15" s="64">
        <v>90</v>
      </c>
      <c r="H15" s="64">
        <v>115</v>
      </c>
      <c r="I15" s="64">
        <f>SUM(G15:H15)</f>
        <v>205</v>
      </c>
      <c r="J15" s="69">
        <f>I15*IF(F15&gt;173.961,1,10^(0.784780654*LOG(F15/173.961)^2))</f>
        <v>226.2776190201978</v>
      </c>
      <c r="K15" s="68">
        <v>40810</v>
      </c>
      <c r="L15" s="26" t="s">
        <v>73</v>
      </c>
      <c r="M15" s="27">
        <f>IF(D15&gt;=1992,I15/VLOOKUP(B15,Standards!$A$3:$H$12,5),"---")</f>
        <v>0.7945736434108527</v>
      </c>
    </row>
    <row r="16" spans="1:13" ht="11.25">
      <c r="A16" s="23" t="str">
        <f t="shared" si="0"/>
        <v>Yth</v>
      </c>
      <c r="B16" s="7">
        <f>VLOOKUP(F16,Men__weight_categories,2,TRUE)</f>
        <v>56</v>
      </c>
      <c r="C16" s="26" t="s">
        <v>40</v>
      </c>
      <c r="D16" s="64">
        <v>1996</v>
      </c>
      <c r="E16" s="65" t="s">
        <v>9</v>
      </c>
      <c r="F16" s="66">
        <v>52.45</v>
      </c>
      <c r="G16" s="64">
        <v>57</v>
      </c>
      <c r="H16" s="64">
        <v>75</v>
      </c>
      <c r="I16" s="64">
        <f>SUM(G16:H16)</f>
        <v>132</v>
      </c>
      <c r="J16" s="66">
        <f>I16*IF(F16&gt;173.961,1,10^(0.784780654*LOG(F16/173.961)^2))</f>
        <v>215.45449438082886</v>
      </c>
      <c r="K16" s="68">
        <v>40809</v>
      </c>
      <c r="L16" s="26" t="s">
        <v>68</v>
      </c>
      <c r="M16" s="27">
        <f>IF(D16&gt;=1992,I16/VLOOKUP(B16,Standards!$A$3:$H$12,5),"---")</f>
        <v>0.7719298245614035</v>
      </c>
    </row>
    <row r="17" spans="1:13" ht="11.25">
      <c r="A17" s="23" t="str">
        <f t="shared" si="0"/>
        <v>Jun</v>
      </c>
      <c r="B17" s="7">
        <f>VLOOKUP(F17,Men__weight_categories,2,TRUE)</f>
        <v>85</v>
      </c>
      <c r="C17" s="26" t="s">
        <v>65</v>
      </c>
      <c r="D17" s="64">
        <v>1994</v>
      </c>
      <c r="E17" s="65" t="s">
        <v>32</v>
      </c>
      <c r="F17" s="66">
        <v>81.95</v>
      </c>
      <c r="G17" s="64">
        <v>75</v>
      </c>
      <c r="H17" s="64">
        <v>108</v>
      </c>
      <c r="I17" s="64">
        <f>SUM(G17:H17)</f>
        <v>183</v>
      </c>
      <c r="J17" s="71">
        <f>I17*IF(F17&gt;173.961,1,10^(0.784780654*LOG(F17/173.961)^2))</f>
        <v>221.98165793830523</v>
      </c>
      <c r="K17" s="68">
        <v>40810</v>
      </c>
      <c r="L17" s="26" t="s">
        <v>73</v>
      </c>
      <c r="M17" s="27">
        <f>IF(D17&gt;=1992,I17/VLOOKUP(B17,Standards!$A$3:$H$12,5),"---")</f>
        <v>0.7656903765690377</v>
      </c>
    </row>
    <row r="18" spans="1:13" ht="11.25">
      <c r="A18" s="23" t="str">
        <f t="shared" si="0"/>
        <v>Jun</v>
      </c>
      <c r="B18" s="7">
        <f>VLOOKUP(F18,Men__weight_categories,2,TRUE)</f>
        <v>85</v>
      </c>
      <c r="C18" s="26" t="s">
        <v>86</v>
      </c>
      <c r="D18" s="64">
        <v>1994</v>
      </c>
      <c r="E18" s="65" t="s">
        <v>30</v>
      </c>
      <c r="F18" s="66">
        <v>78.2</v>
      </c>
      <c r="G18" s="64">
        <v>77</v>
      </c>
      <c r="H18" s="64">
        <v>105</v>
      </c>
      <c r="I18" s="64">
        <f>SUM(G18:H18)</f>
        <v>182</v>
      </c>
      <c r="J18" s="71">
        <f>I18*IF(F18&gt;173.961,1,10^(0.784780654*LOG(F18/173.961)^2))</f>
        <v>226.30784168674884</v>
      </c>
      <c r="K18" s="68">
        <v>40810</v>
      </c>
      <c r="L18" s="26" t="s">
        <v>73</v>
      </c>
      <c r="M18" s="27">
        <f>IF(D18&gt;=1992,I18/VLOOKUP(B18,Standards!$A$3:$H$12,5),"---")</f>
        <v>0.7615062761506276</v>
      </c>
    </row>
    <row r="19" spans="1:13" ht="11.25">
      <c r="A19" s="23" t="str">
        <f t="shared" si="0"/>
        <v>Yth</v>
      </c>
      <c r="B19" s="7">
        <f>VLOOKUP(F19,Men__weight_categories,2,TRUE)</f>
        <v>105</v>
      </c>
      <c r="C19" s="26" t="s">
        <v>90</v>
      </c>
      <c r="D19" s="64">
        <v>1995</v>
      </c>
      <c r="E19" s="65" t="s">
        <v>30</v>
      </c>
      <c r="F19" s="66">
        <v>103</v>
      </c>
      <c r="G19" s="64">
        <v>88</v>
      </c>
      <c r="H19" s="64">
        <v>105</v>
      </c>
      <c r="I19" s="64">
        <f>SUM(G19:H19)</f>
        <v>193</v>
      </c>
      <c r="J19" s="69">
        <f>I19*IF(F19&gt;173.961,1,10^(0.784780654*LOG(F19/173.961)^2))</f>
        <v>211.94128793517234</v>
      </c>
      <c r="K19" s="68">
        <v>40810</v>
      </c>
      <c r="L19" s="26" t="s">
        <v>73</v>
      </c>
      <c r="M19" s="27">
        <f>IF(D19&gt;=1992,I19/VLOOKUP(B19,Standards!$A$3:$H$12,5),"---")</f>
        <v>0.748062015503876</v>
      </c>
    </row>
    <row r="20" spans="1:13" ht="11.25">
      <c r="A20" s="23" t="str">
        <f t="shared" si="0"/>
        <v>Yth</v>
      </c>
      <c r="B20" s="7">
        <f>VLOOKUP(F20,Men__weight_categories,2,TRUE)</f>
        <v>56</v>
      </c>
      <c r="C20" s="26" t="s">
        <v>47</v>
      </c>
      <c r="D20" s="64">
        <v>1998</v>
      </c>
      <c r="E20" s="65" t="s">
        <v>46</v>
      </c>
      <c r="F20" s="66">
        <v>55.1</v>
      </c>
      <c r="G20" s="64">
        <v>57</v>
      </c>
      <c r="H20" s="64">
        <v>70</v>
      </c>
      <c r="I20" s="64">
        <f>SUM(G20:H20)</f>
        <v>127</v>
      </c>
      <c r="J20" s="69">
        <f>I20*IF(F20&gt;173.961,1,10^(0.784780654*LOG(F20/173.961)^2))</f>
        <v>199.27377819378376</v>
      </c>
      <c r="K20" s="68">
        <v>40809</v>
      </c>
      <c r="L20" s="26" t="s">
        <v>68</v>
      </c>
      <c r="M20" s="27">
        <f>IF(D20&gt;=1992,I20/VLOOKUP(B20,Standards!$A$3:$H$12,5),"---")</f>
        <v>0.7426900584795322</v>
      </c>
    </row>
    <row r="21" spans="1:13" ht="11.25">
      <c r="A21" s="23" t="str">
        <f t="shared" si="0"/>
        <v>Yth</v>
      </c>
      <c r="B21" s="7">
        <f>VLOOKUP(F21,Men__weight_categories,2,TRUE)</f>
        <v>56</v>
      </c>
      <c r="C21" s="26" t="s">
        <v>40</v>
      </c>
      <c r="D21" s="64">
        <v>1996</v>
      </c>
      <c r="E21" s="65" t="s">
        <v>9</v>
      </c>
      <c r="F21" s="66">
        <v>52.95</v>
      </c>
      <c r="G21" s="64">
        <v>53</v>
      </c>
      <c r="H21" s="64">
        <v>74</v>
      </c>
      <c r="I21" s="64">
        <f>SUM(G21:H21)</f>
        <v>127</v>
      </c>
      <c r="J21" s="69">
        <f>I21*IF(F21&gt;173.961,1,10^(0.784780654*LOG(F21/173.961)^2))</f>
        <v>205.69848356444152</v>
      </c>
      <c r="K21" s="68">
        <v>40810</v>
      </c>
      <c r="L21" s="26" t="s">
        <v>73</v>
      </c>
      <c r="M21" s="27">
        <f>IF(D21&gt;=1992,I21/VLOOKUP(B21,Standards!$A$3:$H$12,5),"---")</f>
        <v>0.7426900584795322</v>
      </c>
    </row>
    <row r="22" spans="1:13" ht="11.25">
      <c r="A22" s="23" t="str">
        <f t="shared" si="0"/>
        <v>Jun</v>
      </c>
      <c r="B22" s="7">
        <f>VLOOKUP(F22,Men__weight_categories,2,TRUE)</f>
        <v>105</v>
      </c>
      <c r="C22" s="26" t="s">
        <v>91</v>
      </c>
      <c r="D22" s="64">
        <v>1994</v>
      </c>
      <c r="E22" s="65" t="s">
        <v>52</v>
      </c>
      <c r="F22" s="66">
        <v>101.95</v>
      </c>
      <c r="G22" s="64">
        <v>81</v>
      </c>
      <c r="H22" s="64">
        <v>100</v>
      </c>
      <c r="I22" s="64">
        <f>SUM(G22:H22)</f>
        <v>181</v>
      </c>
      <c r="J22" s="69">
        <f>I22*IF(F22&gt;173.961,1,10^(0.784780654*LOG(F22/173.961)^2))</f>
        <v>199.49965969739392</v>
      </c>
      <c r="K22" s="68">
        <v>40810</v>
      </c>
      <c r="L22" s="26" t="s">
        <v>73</v>
      </c>
      <c r="M22" s="27">
        <f>IF(D22&gt;=1992,I22/VLOOKUP(B22,Standards!$A$3:$H$12,5),"---")</f>
        <v>0.7015503875968992</v>
      </c>
    </row>
    <row r="23" spans="1:13" ht="11.25">
      <c r="A23" s="23" t="str">
        <f t="shared" si="0"/>
        <v>Yth</v>
      </c>
      <c r="B23" s="7">
        <f>VLOOKUP(F23,Men__weight_categories,2,TRUE)</f>
        <v>62</v>
      </c>
      <c r="C23" s="26" t="s">
        <v>47</v>
      </c>
      <c r="D23" s="64">
        <v>1998</v>
      </c>
      <c r="E23" s="65" t="s">
        <v>46</v>
      </c>
      <c r="F23" s="66">
        <v>56.35</v>
      </c>
      <c r="G23" s="64">
        <v>58</v>
      </c>
      <c r="H23" s="64">
        <v>74</v>
      </c>
      <c r="I23" s="64">
        <f>SUM(G23:H23)</f>
        <v>132</v>
      </c>
      <c r="J23" s="66">
        <f>I23*IF(F23&gt;173.961,1,10^(0.784780654*LOG(F23/173.961)^2))</f>
        <v>203.54477797085877</v>
      </c>
      <c r="K23" s="68">
        <v>40810</v>
      </c>
      <c r="L23" s="26" t="s">
        <v>73</v>
      </c>
      <c r="M23" s="27">
        <f>IF(D23&gt;=1992,I23/VLOOKUP(B23,Standards!$A$3:$H$12,5),"---")</f>
        <v>0.6839378238341969</v>
      </c>
    </row>
    <row r="24" spans="1:13" ht="11.25">
      <c r="A24" s="23" t="str">
        <f t="shared" si="0"/>
        <v>Yth</v>
      </c>
      <c r="B24" s="7">
        <f>VLOOKUP(F24,Men__weight_categories,2,TRUE)</f>
        <v>69</v>
      </c>
      <c r="C24" s="26" t="s">
        <v>38</v>
      </c>
      <c r="D24" s="64">
        <v>1996</v>
      </c>
      <c r="E24" s="65" t="s">
        <v>9</v>
      </c>
      <c r="F24" s="66">
        <v>67.55</v>
      </c>
      <c r="G24" s="64">
        <v>61</v>
      </c>
      <c r="H24" s="64">
        <v>78</v>
      </c>
      <c r="I24" s="64">
        <f>SUM(G24:H24)</f>
        <v>139</v>
      </c>
      <c r="J24" s="66">
        <f>I24*IF(F24&gt;173.961,1,10^(0.784780654*LOG(F24/173.961)^2))</f>
        <v>188.56837600807842</v>
      </c>
      <c r="K24" s="68">
        <v>40809</v>
      </c>
      <c r="L24" s="26" t="s">
        <v>68</v>
      </c>
      <c r="M24" s="27">
        <f>IF(D24&gt;=1992,I24/VLOOKUP(B24,Standards!$A$3:$H$12,5),"---")</f>
        <v>0.6780487804878049</v>
      </c>
    </row>
    <row r="25" spans="1:13" ht="11.25">
      <c r="A25" s="23" t="str">
        <f t="shared" si="0"/>
        <v>Jun</v>
      </c>
      <c r="B25" s="7">
        <f>VLOOKUP(F25,Men__weight_categories,2,TRUE)</f>
        <v>85</v>
      </c>
      <c r="C25" s="26" t="s">
        <v>87</v>
      </c>
      <c r="D25" s="64">
        <v>1994</v>
      </c>
      <c r="E25" s="65" t="s">
        <v>30</v>
      </c>
      <c r="F25" s="66">
        <v>84.55</v>
      </c>
      <c r="G25" s="64">
        <v>72</v>
      </c>
      <c r="H25" s="64">
        <v>90</v>
      </c>
      <c r="I25" s="64">
        <f>SUM(G25:H25)</f>
        <v>162</v>
      </c>
      <c r="J25" s="71">
        <f>I25*IF(F25&gt;173.961,1,10^(0.784780654*LOG(F25/173.961)^2))</f>
        <v>193.44854595570513</v>
      </c>
      <c r="K25" s="68">
        <v>40810</v>
      </c>
      <c r="L25" s="26" t="s">
        <v>73</v>
      </c>
      <c r="M25" s="27">
        <f>IF(D25&gt;=1992,I25/VLOOKUP(B25,Standards!$A$3:$H$12,5),"---")</f>
        <v>0.6778242677824268</v>
      </c>
    </row>
    <row r="26" spans="1:13" ht="11.25">
      <c r="A26" s="23" t="str">
        <f t="shared" si="0"/>
        <v>Yth</v>
      </c>
      <c r="B26" s="7">
        <f>VLOOKUP(F26,Men__weight_categories,2,TRUE)</f>
        <v>56</v>
      </c>
      <c r="C26" s="26" t="s">
        <v>74</v>
      </c>
      <c r="D26" s="64">
        <v>1996</v>
      </c>
      <c r="E26" s="65" t="s">
        <v>30</v>
      </c>
      <c r="F26" s="66">
        <v>51</v>
      </c>
      <c r="G26" s="64">
        <v>46</v>
      </c>
      <c r="H26" s="64">
        <v>61</v>
      </c>
      <c r="I26" s="64">
        <f>SUM(G26:H26)</f>
        <v>107</v>
      </c>
      <c r="J26" s="69">
        <f>I26*IF(F26&gt;173.961,1,10^(0.784780654*LOG(F26/173.961)^2))</f>
        <v>178.7443772653986</v>
      </c>
      <c r="K26" s="68">
        <v>40810</v>
      </c>
      <c r="L26" s="26" t="s">
        <v>73</v>
      </c>
      <c r="M26" s="27">
        <f>IF(D26&gt;=1992,I26/VLOOKUP(B26,Standards!$A$3:$H$12,5),"---")</f>
        <v>0.6257309941520468</v>
      </c>
    </row>
    <row r="27" spans="1:13" ht="11.25">
      <c r="A27" s="23" t="str">
        <f t="shared" si="0"/>
        <v>Yth</v>
      </c>
      <c r="B27" s="7">
        <f>VLOOKUP(F27,Men__weight_categories,2,TRUE)</f>
        <v>77</v>
      </c>
      <c r="C27" s="26" t="s">
        <v>38</v>
      </c>
      <c r="D27" s="64">
        <v>1996</v>
      </c>
      <c r="E27" s="65" t="s">
        <v>9</v>
      </c>
      <c r="F27" s="66">
        <v>69.55</v>
      </c>
      <c r="G27" s="64">
        <v>63</v>
      </c>
      <c r="H27" s="64">
        <v>80</v>
      </c>
      <c r="I27" s="64">
        <f>SUM(G27:H27)</f>
        <v>143</v>
      </c>
      <c r="J27" s="66">
        <f>I27*IF(F27&gt;173.961,1,10^(0.784780654*LOG(F27/173.961)^2))</f>
        <v>190.43427989508604</v>
      </c>
      <c r="K27" s="68">
        <v>40810</v>
      </c>
      <c r="L27" s="26" t="s">
        <v>73</v>
      </c>
      <c r="M27" s="27">
        <f>IF(D27&gt;=1992,I27/VLOOKUP(B27,Standards!$A$3:$H$12,5),"---")</f>
        <v>0.6244541484716157</v>
      </c>
    </row>
    <row r="28" spans="1:13" ht="11.25">
      <c r="A28" s="23" t="str">
        <f t="shared" si="0"/>
        <v>Yth</v>
      </c>
      <c r="B28" s="7" t="str">
        <f>VLOOKUP(F28,Men__weight_categories,2,TRUE)</f>
        <v>105+</v>
      </c>
      <c r="C28" s="26" t="s">
        <v>92</v>
      </c>
      <c r="D28" s="64">
        <v>1996</v>
      </c>
      <c r="E28" s="65" t="s">
        <v>32</v>
      </c>
      <c r="F28" s="66">
        <v>121.15</v>
      </c>
      <c r="G28" s="64">
        <v>65</v>
      </c>
      <c r="H28" s="64">
        <v>80</v>
      </c>
      <c r="I28" s="64">
        <f>SUM(G28:H28)</f>
        <v>145</v>
      </c>
      <c r="J28" s="66">
        <f>I28*IF(F28&gt;173.961,1,10^(0.784780654*LOG(F28/173.961)^2))</f>
        <v>151.61554555793953</v>
      </c>
      <c r="K28" s="68">
        <v>40809</v>
      </c>
      <c r="L28" s="26" t="s">
        <v>68</v>
      </c>
      <c r="M28" s="27">
        <f>IF(D28&gt;=1992,I28/VLOOKUP(B28,Standards!$A$3:$H$12,5),"---")</f>
        <v>0.5451127819548872</v>
      </c>
    </row>
    <row r="29" spans="1:13" ht="11.25">
      <c r="A29" s="23" t="str">
        <f t="shared" si="0"/>
        <v>Yth</v>
      </c>
      <c r="B29" s="7">
        <f>VLOOKUP(F29,Men__weight_categories,2,TRUE)</f>
        <v>69</v>
      </c>
      <c r="C29" s="26" t="s">
        <v>79</v>
      </c>
      <c r="D29" s="64">
        <v>1996</v>
      </c>
      <c r="E29" s="65" t="s">
        <v>30</v>
      </c>
      <c r="F29" s="66">
        <v>66.75</v>
      </c>
      <c r="G29" s="64">
        <v>51</v>
      </c>
      <c r="H29" s="64">
        <v>59</v>
      </c>
      <c r="I29" s="64">
        <f>SUM(G29:H29)</f>
        <v>110</v>
      </c>
      <c r="J29" s="66">
        <f>I29*IF(F29&gt;173.961,1,10^(0.784780654*LOG(F29/173.961)^2))</f>
        <v>150.38485257655506</v>
      </c>
      <c r="K29" s="68">
        <v>40809</v>
      </c>
      <c r="L29" s="26" t="s">
        <v>68</v>
      </c>
      <c r="M29" s="27">
        <f>IF(D29&gt;=1992,I29/VLOOKUP(B29,Standards!$A$3:$H$12,5),"---")</f>
        <v>0.5365853658536586</v>
      </c>
    </row>
    <row r="30" spans="1:13" ht="11.25">
      <c r="A30" s="23" t="str">
        <f t="shared" si="0"/>
        <v>Yth</v>
      </c>
      <c r="B30" s="7">
        <f>VLOOKUP(F30,Men__weight_categories,2,TRUE)</f>
        <v>62</v>
      </c>
      <c r="C30" s="26" t="s">
        <v>63</v>
      </c>
      <c r="D30" s="64">
        <v>1996</v>
      </c>
      <c r="E30" s="65" t="s">
        <v>32</v>
      </c>
      <c r="F30" s="66">
        <v>59.2</v>
      </c>
      <c r="G30" s="64">
        <v>45</v>
      </c>
      <c r="H30" s="64">
        <v>55</v>
      </c>
      <c r="I30" s="64">
        <f>SUM(G30:H30)</f>
        <v>100</v>
      </c>
      <c r="J30" s="66">
        <f>I30*IF(F30&gt;173.961,1,10^(0.784780654*LOG(F30/173.961)^2))</f>
        <v>148.5872147722342</v>
      </c>
      <c r="K30" s="68">
        <v>40809</v>
      </c>
      <c r="L30" s="26" t="s">
        <v>68</v>
      </c>
      <c r="M30" s="27">
        <f>IF(D30&gt;=1992,I30/VLOOKUP(B30,Standards!$A$3:$H$12,5),"---")</f>
        <v>0.5181347150259067</v>
      </c>
    </row>
    <row r="31" spans="1:13" ht="11.25">
      <c r="A31" s="23" t="str">
        <f t="shared" si="0"/>
        <v>Yth</v>
      </c>
      <c r="B31" s="7">
        <f>VLOOKUP(F31,Men__weight_categories,2,TRUE)</f>
        <v>56</v>
      </c>
      <c r="C31" s="26" t="s">
        <v>72</v>
      </c>
      <c r="D31" s="64">
        <v>1996</v>
      </c>
      <c r="E31" s="65" t="s">
        <v>30</v>
      </c>
      <c r="F31" s="66">
        <v>53.65</v>
      </c>
      <c r="G31" s="64">
        <v>35</v>
      </c>
      <c r="H31" s="64">
        <v>48</v>
      </c>
      <c r="I31" s="64">
        <f>SUM(G31:H31)</f>
        <v>83</v>
      </c>
      <c r="J31" s="69">
        <f>I31*IF(F31&gt;173.961,1,10^(0.784780654*LOG(F31/173.961)^2))</f>
        <v>133.01674210443883</v>
      </c>
      <c r="K31" s="68">
        <v>40809</v>
      </c>
      <c r="L31" s="26" t="s">
        <v>68</v>
      </c>
      <c r="M31" s="27">
        <f>IF(D31&gt;=1992,I31/VLOOKUP(B31,Standards!$A$3:$H$12,5),"---")</f>
        <v>0.4853801169590643</v>
      </c>
    </row>
    <row r="32" spans="1:13" ht="11.25">
      <c r="A32" s="23" t="str">
        <f t="shared" si="0"/>
        <v>Yth</v>
      </c>
      <c r="B32" s="7">
        <f>VLOOKUP(F32,Men__weight_categories,2,TRUE)</f>
        <v>77</v>
      </c>
      <c r="C32" s="26" t="s">
        <v>82</v>
      </c>
      <c r="D32" s="64">
        <v>1997</v>
      </c>
      <c r="E32" s="65" t="s">
        <v>30</v>
      </c>
      <c r="F32" s="66">
        <v>74.95</v>
      </c>
      <c r="G32" s="64">
        <v>51</v>
      </c>
      <c r="H32" s="64">
        <v>60</v>
      </c>
      <c r="I32" s="64">
        <f>SUM(G32:H32)</f>
        <v>111</v>
      </c>
      <c r="J32" s="66">
        <f>I32*IF(F32&gt;173.961,1,10^(0.784780654*LOG(F32/173.961)^2))</f>
        <v>141.34012064391123</v>
      </c>
      <c r="K32" s="68">
        <v>40809</v>
      </c>
      <c r="L32" s="26" t="s">
        <v>68</v>
      </c>
      <c r="M32" s="27">
        <f>IF(D32&gt;=1992,I32/VLOOKUP(B32,Standards!$A$3:$H$12,5),"---")</f>
        <v>0.4847161572052402</v>
      </c>
    </row>
    <row r="33" spans="1:13" ht="11.25">
      <c r="A33" s="23" t="str">
        <f t="shared" si="0"/>
        <v>Yth</v>
      </c>
      <c r="B33" s="7">
        <f>VLOOKUP(F33,Men__weight_categories,2,TRUE)</f>
        <v>62</v>
      </c>
      <c r="C33" s="26" t="s">
        <v>76</v>
      </c>
      <c r="D33" s="64">
        <v>1997</v>
      </c>
      <c r="E33" s="65" t="s">
        <v>30</v>
      </c>
      <c r="F33" s="66">
        <v>61.3</v>
      </c>
      <c r="G33" s="64">
        <v>35</v>
      </c>
      <c r="H33" s="64">
        <v>47</v>
      </c>
      <c r="I33" s="64">
        <f>SUM(G33:H33)</f>
        <v>82</v>
      </c>
      <c r="J33" s="66">
        <f>I33*IF(F33&gt;173.961,1,10^(0.784780654*LOG(F33/173.961)^2))</f>
        <v>118.80967445524283</v>
      </c>
      <c r="K33" s="68">
        <v>40809</v>
      </c>
      <c r="L33" s="26" t="s">
        <v>68</v>
      </c>
      <c r="M33" s="27">
        <f>IF(D33&gt;=1992,I33/VLOOKUP(B33,Standards!$A$3:$H$12,5),"---")</f>
        <v>0.42487046632124353</v>
      </c>
    </row>
    <row r="34" spans="1:13" ht="11.25">
      <c r="A34" s="23" t="str">
        <f t="shared" si="0"/>
        <v>Yth</v>
      </c>
      <c r="B34" s="7" t="str">
        <f>VLOOKUP(F34,Men__weight_categories,2,TRUE)</f>
        <v>105+</v>
      </c>
      <c r="C34" s="26" t="s">
        <v>93</v>
      </c>
      <c r="D34" s="64">
        <v>1996</v>
      </c>
      <c r="E34" s="65" t="s">
        <v>32</v>
      </c>
      <c r="F34" s="66">
        <v>105.75</v>
      </c>
      <c r="G34" s="64">
        <v>40</v>
      </c>
      <c r="H34" s="64">
        <v>60</v>
      </c>
      <c r="I34" s="64">
        <f>SUM(G34:H34)</f>
        <v>100</v>
      </c>
      <c r="J34" s="66">
        <f>I34*IF(F34&gt;173.961,1,10^(0.784780654*LOG(F34/173.961)^2))</f>
        <v>108.81102433164116</v>
      </c>
      <c r="K34" s="68">
        <v>40809</v>
      </c>
      <c r="L34" s="26" t="s">
        <v>68</v>
      </c>
      <c r="M34" s="27">
        <f>IF(D34&gt;=1992,I34/VLOOKUP(B34,Standards!$A$3:$H$12,5),"---")</f>
        <v>0.37593984962406013</v>
      </c>
    </row>
    <row r="35" spans="1:13" ht="11.25">
      <c r="A35" s="23" t="str">
        <f t="shared" si="0"/>
        <v>Yth</v>
      </c>
      <c r="B35" s="7">
        <f>VLOOKUP(F35,Men__weight_categories,2,TRUE)</f>
        <v>62</v>
      </c>
      <c r="C35" s="26" t="s">
        <v>77</v>
      </c>
      <c r="D35" s="64">
        <v>1997</v>
      </c>
      <c r="E35" s="65" t="s">
        <v>30</v>
      </c>
      <c r="F35" s="66">
        <v>59.1</v>
      </c>
      <c r="G35" s="64">
        <v>31</v>
      </c>
      <c r="H35" s="64">
        <v>41</v>
      </c>
      <c r="I35" s="64">
        <f>SUM(G35:H35)</f>
        <v>72</v>
      </c>
      <c r="J35" s="66">
        <f>I35*IF(F35&gt;173.961,1,10^(0.784780654*LOG(F35/173.961)^2))</f>
        <v>107.11587520531694</v>
      </c>
      <c r="K35" s="68">
        <v>40809</v>
      </c>
      <c r="L35" s="26" t="s">
        <v>68</v>
      </c>
      <c r="M35" s="27">
        <f>IF(D35&gt;=1992,I35/VLOOKUP(B35,Standards!$A$3:$H$12,5),"---")</f>
        <v>0.37305699481865284</v>
      </c>
    </row>
    <row r="36" spans="1:13" ht="11.25">
      <c r="A36" s="23" t="str">
        <f t="shared" si="0"/>
        <v>Yth</v>
      </c>
      <c r="B36" s="7">
        <f>VLOOKUP(F36,Men__weight_categories,2,TRUE)</f>
        <v>50</v>
      </c>
      <c r="C36" s="26" t="s">
        <v>67</v>
      </c>
      <c r="D36" s="64">
        <v>1999</v>
      </c>
      <c r="E36" s="65" t="s">
        <v>30</v>
      </c>
      <c r="F36" s="66">
        <v>36.3</v>
      </c>
      <c r="G36" s="64">
        <v>27</v>
      </c>
      <c r="H36" s="64">
        <v>34</v>
      </c>
      <c r="I36" s="64">
        <f>SUM(G36:H36)</f>
        <v>61</v>
      </c>
      <c r="J36" s="66">
        <f>I36*IF(F36&gt;173.961,1,10^(0.784780654*LOG(F36/173.961)^2))</f>
        <v>140.86224666711712</v>
      </c>
      <c r="K36" s="67">
        <v>40809</v>
      </c>
      <c r="L36" s="26" t="s">
        <v>68</v>
      </c>
      <c r="M36" s="27">
        <f>IF(D36&gt;=1992,I36/VLOOKUP(B36,Standards!$A$3:$H$12,5),"---")</f>
        <v>0.3567251461988304</v>
      </c>
    </row>
    <row r="37" spans="1:13" ht="11.25">
      <c r="A37" s="23" t="str">
        <f t="shared" si="0"/>
        <v>Yth</v>
      </c>
      <c r="B37" s="7">
        <f>VLOOKUP(F37,Men__weight_categories,2,TRUE)</f>
        <v>50</v>
      </c>
      <c r="C37" s="26" t="s">
        <v>70</v>
      </c>
      <c r="D37" s="64">
        <v>1998</v>
      </c>
      <c r="E37" s="65" t="s">
        <v>30</v>
      </c>
      <c r="F37" s="66">
        <v>44.45</v>
      </c>
      <c r="G37" s="64">
        <v>26</v>
      </c>
      <c r="H37" s="64">
        <v>31</v>
      </c>
      <c r="I37" s="64">
        <f>SUM(G37:H37)</f>
        <v>57</v>
      </c>
      <c r="J37" s="66">
        <f>I37*IF(F37&gt;173.961,1,10^(0.784780654*LOG(F37/173.961)^2))</f>
        <v>107.51066111263498</v>
      </c>
      <c r="K37" s="67">
        <v>40809</v>
      </c>
      <c r="L37" s="26" t="s">
        <v>68</v>
      </c>
      <c r="M37" s="27">
        <f>IF(D37&gt;=1992,I37/VLOOKUP(B37,Standards!$A$3:$H$12,5),"---")</f>
        <v>0.3333333333333333</v>
      </c>
    </row>
    <row r="38" spans="1:13" ht="11.25">
      <c r="A38" s="23" t="str">
        <f t="shared" si="0"/>
        <v>Yth</v>
      </c>
      <c r="B38" s="7">
        <f>VLOOKUP(F38,Men__weight_categories,2,TRUE)</f>
        <v>50</v>
      </c>
      <c r="C38" s="26" t="s">
        <v>69</v>
      </c>
      <c r="D38" s="64">
        <v>1996</v>
      </c>
      <c r="E38" s="65" t="s">
        <v>9</v>
      </c>
      <c r="F38" s="66">
        <v>36.85</v>
      </c>
      <c r="G38" s="64">
        <v>23</v>
      </c>
      <c r="H38" s="64">
        <v>33</v>
      </c>
      <c r="I38" s="64">
        <f>SUM(G38:H38)</f>
        <v>56</v>
      </c>
      <c r="J38" s="66">
        <f>I38*IF(F38&gt;173.961,1,10^(0.784780654*LOG(F38/173.961)^2))</f>
        <v>127.26538058177537</v>
      </c>
      <c r="K38" s="67">
        <v>40809</v>
      </c>
      <c r="L38" s="26" t="s">
        <v>68</v>
      </c>
      <c r="M38" s="27">
        <f>IF(D38&gt;=1992,I38/VLOOKUP(B38,Standards!$A$3:$H$12,5),"---")</f>
        <v>0.32748538011695905</v>
      </c>
    </row>
    <row r="39" spans="1:13" ht="11.25">
      <c r="A39" s="23" t="str">
        <f t="shared" si="0"/>
        <v>Yth</v>
      </c>
      <c r="B39" s="7">
        <f>VLOOKUP(F39,Men__weight_categories,2,TRUE)</f>
        <v>69</v>
      </c>
      <c r="C39" s="26" t="s">
        <v>80</v>
      </c>
      <c r="D39" s="64">
        <v>1997</v>
      </c>
      <c r="E39" s="65" t="s">
        <v>30</v>
      </c>
      <c r="F39" s="66">
        <v>62.05</v>
      </c>
      <c r="G39" s="64">
        <v>30</v>
      </c>
      <c r="H39" s="64">
        <v>35</v>
      </c>
      <c r="I39" s="64">
        <f>SUM(G39:H39)</f>
        <v>65</v>
      </c>
      <c r="J39" s="66">
        <f>I39*IF(F39&gt;173.961,1,10^(0.784780654*LOG(F39/173.961)^2))</f>
        <v>93.37233052009898</v>
      </c>
      <c r="K39" s="68">
        <v>40809</v>
      </c>
      <c r="L39" s="26" t="s">
        <v>68</v>
      </c>
      <c r="M39" s="27">
        <f>IF(D39&gt;=1992,I39/VLOOKUP(B39,Standards!$A$3:$H$12,5),"---")</f>
        <v>0.3170731707317073</v>
      </c>
    </row>
    <row r="40" spans="1:13" ht="11.25">
      <c r="A40" s="23" t="str">
        <f t="shared" si="0"/>
        <v>Yth</v>
      </c>
      <c r="B40" s="7">
        <f>VLOOKUP(F40,Men__weight_categories,2,TRUE)</f>
        <v>77</v>
      </c>
      <c r="C40" s="26" t="s">
        <v>83</v>
      </c>
      <c r="D40" s="64">
        <v>1998</v>
      </c>
      <c r="E40" s="65" t="s">
        <v>30</v>
      </c>
      <c r="F40" s="66">
        <v>70.65</v>
      </c>
      <c r="G40" s="64">
        <v>30</v>
      </c>
      <c r="H40" s="64">
        <v>37</v>
      </c>
      <c r="I40" s="64">
        <f>SUM(G40:H40)</f>
        <v>67</v>
      </c>
      <c r="J40" s="66">
        <f>I40*IF(F40&gt;173.961,1,10^(0.784780654*LOG(F40/173.961)^2))</f>
        <v>88.36116552949167</v>
      </c>
      <c r="K40" s="68">
        <v>40809</v>
      </c>
      <c r="L40" s="26" t="s">
        <v>68</v>
      </c>
      <c r="M40" s="27">
        <f>IF(D40&gt;=1992,I40/VLOOKUP(B40,Standards!$A$3:$H$12,5),"---")</f>
        <v>0.2925764192139738</v>
      </c>
    </row>
    <row r="41" spans="1:13" ht="11.25">
      <c r="A41" s="23" t="str">
        <f t="shared" si="0"/>
        <v>Yth</v>
      </c>
      <c r="B41" s="7">
        <f>VLOOKUP(F41,Men__weight_categories,2,TRUE)</f>
        <v>94</v>
      </c>
      <c r="C41" s="26" t="s">
        <v>88</v>
      </c>
      <c r="D41" s="64">
        <v>1997</v>
      </c>
      <c r="E41" s="65" t="s">
        <v>30</v>
      </c>
      <c r="F41" s="66">
        <v>87.1</v>
      </c>
      <c r="G41" s="64">
        <v>34</v>
      </c>
      <c r="H41" s="64">
        <v>39</v>
      </c>
      <c r="I41" s="64">
        <f>SUM(G41:H41)</f>
        <v>73</v>
      </c>
      <c r="J41" s="66">
        <f>I41*IF(F41&gt;173.961,1,10^(0.784780654*LOG(F41/173.961)^2))</f>
        <v>85.93251079958875</v>
      </c>
      <c r="K41" s="68">
        <v>40809</v>
      </c>
      <c r="L41" s="26" t="s">
        <v>68</v>
      </c>
      <c r="M41" s="27">
        <f>IF(D41&gt;=1992,I41/VLOOKUP(B41,Standards!$A$3:$H$12,5),"---")</f>
        <v>0.2885375494071146</v>
      </c>
    </row>
    <row r="42" spans="1:13" ht="11.25">
      <c r="A42" s="23" t="str">
        <f t="shared" si="0"/>
        <v>Yth</v>
      </c>
      <c r="B42" s="7">
        <f>VLOOKUP(F42,Men__weight_categories,2,TRUE)</f>
        <v>50</v>
      </c>
      <c r="C42" s="26" t="s">
        <v>71</v>
      </c>
      <c r="D42" s="64">
        <v>1998</v>
      </c>
      <c r="E42" s="65" t="s">
        <v>30</v>
      </c>
      <c r="F42" s="66">
        <v>42.2</v>
      </c>
      <c r="G42" s="64">
        <v>18</v>
      </c>
      <c r="H42" s="64">
        <v>25</v>
      </c>
      <c r="I42" s="64">
        <f>SUM(G42:H42)</f>
        <v>43</v>
      </c>
      <c r="J42" s="66">
        <f>I42*IF(F42&gt;173.961,1,10^(0.784780654*LOG(F42/173.961)^2))</f>
        <v>85.19747754963399</v>
      </c>
      <c r="K42" s="67">
        <v>40809</v>
      </c>
      <c r="L42" s="26" t="s">
        <v>68</v>
      </c>
      <c r="M42" s="27">
        <f>IF(D42&gt;=1992,I42/VLOOKUP(B42,Standards!$A$3:$H$12,5),"---")</f>
        <v>0.25146198830409355</v>
      </c>
    </row>
    <row r="43" spans="1:12" ht="11.25">
      <c r="A43" s="23"/>
      <c r="B43" s="7"/>
      <c r="C43" s="34"/>
      <c r="D43" s="35"/>
      <c r="E43" s="36"/>
      <c r="F43" s="41"/>
      <c r="G43" s="37"/>
      <c r="H43" s="37"/>
      <c r="I43" s="37"/>
      <c r="J43" s="40"/>
      <c r="K43" s="32"/>
      <c r="L43" s="33"/>
    </row>
    <row r="44" spans="1:12" ht="11.25">
      <c r="A44" s="23"/>
      <c r="B44" s="7"/>
      <c r="C44" s="29"/>
      <c r="D44" s="30"/>
      <c r="E44" s="30"/>
      <c r="F44" s="40"/>
      <c r="G44" s="31"/>
      <c r="H44" s="31"/>
      <c r="I44" s="30"/>
      <c r="J44" s="40"/>
      <c r="K44" s="32"/>
      <c r="L44" s="33"/>
    </row>
    <row r="45" spans="1:11" ht="11.25">
      <c r="A45" s="23"/>
      <c r="B45" s="7"/>
      <c r="J45" s="40"/>
      <c r="K45" s="48"/>
    </row>
    <row r="46" spans="1:11" ht="11.25">
      <c r="A46" s="23"/>
      <c r="B46" s="7"/>
      <c r="C46" s="49"/>
      <c r="D46" s="50"/>
      <c r="E46" s="33"/>
      <c r="F46" s="57"/>
      <c r="G46" s="53"/>
      <c r="H46" s="53"/>
      <c r="I46" s="54"/>
      <c r="J46" s="40"/>
      <c r="K46" s="48"/>
    </row>
    <row r="47" spans="1:12" ht="11.25">
      <c r="A47" s="23"/>
      <c r="B47" s="7"/>
      <c r="C47" s="33"/>
      <c r="D47" s="33"/>
      <c r="E47" s="33"/>
      <c r="F47" s="40"/>
      <c r="G47" s="30"/>
      <c r="H47" s="30"/>
      <c r="I47" s="30"/>
      <c r="J47" s="59"/>
      <c r="K47" s="32"/>
      <c r="L47" s="33"/>
    </row>
    <row r="48" spans="1:11" ht="11.25">
      <c r="A48" s="23"/>
      <c r="B48" s="7"/>
      <c r="C48" s="49"/>
      <c r="D48" s="50"/>
      <c r="E48" s="33"/>
      <c r="F48" s="57"/>
      <c r="G48" s="53"/>
      <c r="H48" s="53"/>
      <c r="I48" s="54"/>
      <c r="J48" s="40"/>
      <c r="K48" s="48"/>
    </row>
    <row r="49" spans="1:12" ht="11.25">
      <c r="A49" s="23"/>
      <c r="B49" s="7"/>
      <c r="C49" s="29"/>
      <c r="D49" s="30"/>
      <c r="E49" s="30"/>
      <c r="F49" s="40"/>
      <c r="G49" s="31"/>
      <c r="H49" s="31"/>
      <c r="I49" s="30"/>
      <c r="J49" s="40"/>
      <c r="K49" s="32"/>
      <c r="L49" s="33"/>
    </row>
    <row r="50" spans="1:12" ht="11.25">
      <c r="A50" s="23"/>
      <c r="B50" s="7"/>
      <c r="C50" s="29"/>
      <c r="D50" s="30"/>
      <c r="E50" s="30"/>
      <c r="F50" s="40"/>
      <c r="G50" s="31"/>
      <c r="H50" s="31"/>
      <c r="I50" s="30"/>
      <c r="J50" s="40"/>
      <c r="K50" s="32"/>
      <c r="L50" s="33"/>
    </row>
    <row r="51" spans="1:12" ht="11.25">
      <c r="A51" s="23"/>
      <c r="B51" s="7"/>
      <c r="C51" s="34"/>
      <c r="D51" s="35"/>
      <c r="E51" s="36"/>
      <c r="F51" s="41"/>
      <c r="G51" s="37"/>
      <c r="H51" s="37"/>
      <c r="I51" s="37"/>
      <c r="J51" s="40"/>
      <c r="K51" s="32"/>
      <c r="L51" s="33"/>
    </row>
    <row r="52" spans="1:12" ht="11.25">
      <c r="A52" s="23"/>
      <c r="B52" s="7"/>
      <c r="C52" s="34"/>
      <c r="D52" s="35"/>
      <c r="E52" s="36"/>
      <c r="F52" s="41"/>
      <c r="G52" s="37"/>
      <c r="H52" s="37"/>
      <c r="I52" s="37"/>
      <c r="J52" s="40"/>
      <c r="K52" s="32"/>
      <c r="L52" s="33"/>
    </row>
    <row r="53" spans="1:11" ht="11.25">
      <c r="A53" s="23"/>
      <c r="B53" s="7"/>
      <c r="J53" s="40"/>
      <c r="K53" s="48"/>
    </row>
    <row r="54" spans="1:12" ht="11.25">
      <c r="A54" s="23"/>
      <c r="B54" s="7"/>
      <c r="C54" s="33"/>
      <c r="D54" s="33"/>
      <c r="E54" s="33"/>
      <c r="F54" s="40"/>
      <c r="G54" s="30"/>
      <c r="H54" s="30"/>
      <c r="I54" s="30"/>
      <c r="J54" s="59"/>
      <c r="K54" s="32"/>
      <c r="L54" s="33"/>
    </row>
    <row r="55" spans="1:12" ht="11.25">
      <c r="A55" s="23"/>
      <c r="B55" s="7"/>
      <c r="C55" s="33"/>
      <c r="D55" s="33"/>
      <c r="E55" s="33"/>
      <c r="F55" s="40"/>
      <c r="G55" s="30"/>
      <c r="H55" s="30"/>
      <c r="I55" s="30"/>
      <c r="J55" s="59"/>
      <c r="K55" s="32"/>
      <c r="L55" s="33"/>
    </row>
    <row r="56" spans="1:12" ht="11.25">
      <c r="A56" s="23"/>
      <c r="B56" s="7"/>
      <c r="C56" s="29"/>
      <c r="D56" s="30"/>
      <c r="E56" s="30"/>
      <c r="F56" s="40"/>
      <c r="G56" s="31"/>
      <c r="H56" s="31"/>
      <c r="I56" s="30"/>
      <c r="J56" s="40"/>
      <c r="K56" s="32"/>
      <c r="L56" s="33"/>
    </row>
    <row r="57" spans="1:11" ht="11.25">
      <c r="A57" s="23"/>
      <c r="B57" s="7"/>
      <c r="C57" s="52"/>
      <c r="D57" s="50"/>
      <c r="E57" s="50"/>
      <c r="F57" s="57"/>
      <c r="G57" s="53"/>
      <c r="H57" s="53"/>
      <c r="I57" s="54"/>
      <c r="J57" s="40"/>
      <c r="K57" s="48"/>
    </row>
    <row r="58" spans="1:12" ht="11.25">
      <c r="A58" s="23"/>
      <c r="B58" s="7"/>
      <c r="C58" s="29"/>
      <c r="D58" s="30"/>
      <c r="E58" s="30"/>
      <c r="F58" s="40"/>
      <c r="G58" s="31"/>
      <c r="H58" s="31"/>
      <c r="I58" s="30"/>
      <c r="J58" s="40"/>
      <c r="K58" s="32"/>
      <c r="L58" s="33"/>
    </row>
    <row r="59" spans="1:11" ht="11.25">
      <c r="A59" s="23"/>
      <c r="B59" s="7"/>
      <c r="C59" s="49"/>
      <c r="D59" s="50"/>
      <c r="E59" s="50"/>
      <c r="F59" s="57"/>
      <c r="G59" s="54"/>
      <c r="H59" s="54"/>
      <c r="I59" s="54"/>
      <c r="J59" s="40"/>
      <c r="K59" s="48"/>
    </row>
    <row r="60" spans="1:12" ht="11.25">
      <c r="A60" s="23"/>
      <c r="B60" s="7"/>
      <c r="C60" s="33"/>
      <c r="D60" s="33"/>
      <c r="E60" s="33"/>
      <c r="F60" s="40"/>
      <c r="G60" s="30"/>
      <c r="H60" s="30"/>
      <c r="I60" s="30"/>
      <c r="J60" s="59"/>
      <c r="K60" s="32"/>
      <c r="L60" s="33"/>
    </row>
    <row r="61" spans="1:12" ht="11.25">
      <c r="A61" s="23"/>
      <c r="B61" s="7"/>
      <c r="C61" s="29"/>
      <c r="D61" s="30"/>
      <c r="E61" s="30"/>
      <c r="F61" s="40"/>
      <c r="G61" s="31"/>
      <c r="H61" s="31"/>
      <c r="I61" s="30"/>
      <c r="J61" s="40"/>
      <c r="K61" s="32"/>
      <c r="L61" s="33"/>
    </row>
    <row r="62" spans="1:12" ht="11.25">
      <c r="A62" s="23"/>
      <c r="B62" s="7"/>
      <c r="C62" s="34"/>
      <c r="D62" s="35"/>
      <c r="E62" s="36"/>
      <c r="F62" s="41"/>
      <c r="G62" s="37"/>
      <c r="H62" s="37"/>
      <c r="I62" s="37"/>
      <c r="J62" s="40"/>
      <c r="K62" s="32"/>
      <c r="L62" s="33"/>
    </row>
    <row r="63" spans="1:12" ht="11.25">
      <c r="A63" s="23"/>
      <c r="B63" s="7"/>
      <c r="C63" s="62"/>
      <c r="D63" s="63"/>
      <c r="E63" s="36"/>
      <c r="F63" s="41"/>
      <c r="G63" s="37"/>
      <c r="H63" s="37"/>
      <c r="I63" s="37"/>
      <c r="J63" s="40"/>
      <c r="K63" s="32"/>
      <c r="L63" s="33"/>
    </row>
  </sheetData>
  <sheetProtection/>
  <conditionalFormatting sqref="A2:A63">
    <cfRule type="containsText" priority="4" dxfId="0" operator="containsText" text="Jun">
      <formula>NOT(ISERROR(SEARCH("Jun",A2)))</formula>
    </cfRule>
  </conditionalFormatting>
  <conditionalFormatting sqref="A2:A63">
    <cfRule type="containsText" priority="3" dxfId="1" operator="containsText" text="Yth">
      <formula>NOT(ISERROR(SEARCH("Yth",A2)))</formula>
    </cfRule>
  </conditionalFormatting>
  <dataValidations count="2">
    <dataValidation type="decimal" showInputMessage="1" showErrorMessage="1" promptTitle="Enter the lifter's bodyweight" prompt="The bodyweight must be between 10.00 and 999.99." errorTitle="Bodyweight error" error="The lifter's bodyweight must be between 10.00 and 999.99." sqref="F55:F63 F43:F53">
      <formula1>1</formula1>
      <formula2>999</formula2>
    </dataValidation>
    <dataValidation type="decimal" allowBlank="1" showInputMessage="1" showErrorMessage="1" promptTitle="Enter the lifter's bodyweight" prompt="The bodyweight must be between 10.00 and 999.99." errorTitle="Bodyweight error" error="The lifter's bodyweight must be between 10.00 and 999.99." sqref="F54">
      <formula1>10</formula1>
      <formula2>999.99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4.8515625" style="24" bestFit="1" customWidth="1"/>
    <col min="2" max="2" width="4.421875" style="24" bestFit="1" customWidth="1"/>
    <col min="3" max="3" width="14.28125" style="24" bestFit="1" customWidth="1"/>
    <col min="4" max="4" width="5.00390625" style="24" bestFit="1" customWidth="1"/>
    <col min="5" max="5" width="4.57421875" style="24" bestFit="1" customWidth="1"/>
    <col min="6" max="6" width="6.57421875" style="56" bestFit="1" customWidth="1"/>
    <col min="7" max="7" width="5.8515625" style="47" bestFit="1" customWidth="1"/>
    <col min="8" max="8" width="5.57421875" style="47" bestFit="1" customWidth="1"/>
    <col min="9" max="9" width="4.28125" style="47" bestFit="1" customWidth="1"/>
    <col min="10" max="10" width="6.57421875" style="56" bestFit="1" customWidth="1"/>
    <col min="11" max="11" width="8.7109375" style="24" bestFit="1" customWidth="1"/>
    <col min="12" max="12" width="41.8515625" style="24" bestFit="1" customWidth="1"/>
    <col min="13" max="13" width="9.140625" style="24" customWidth="1"/>
    <col min="14" max="14" width="12.57421875" style="24" bestFit="1" customWidth="1"/>
    <col min="15" max="16384" width="9.140625" style="24" customWidth="1"/>
  </cols>
  <sheetData>
    <row r="1" spans="1:14" s="3" customFormat="1" ht="11.25">
      <c r="A1" s="28" t="s">
        <v>4</v>
      </c>
      <c r="B1" s="28" t="s">
        <v>22</v>
      </c>
      <c r="C1" s="3" t="s">
        <v>0</v>
      </c>
      <c r="D1" s="4" t="s">
        <v>2</v>
      </c>
      <c r="E1" s="3" t="s">
        <v>10</v>
      </c>
      <c r="F1" s="55" t="s">
        <v>11</v>
      </c>
      <c r="G1" s="58" t="s">
        <v>3</v>
      </c>
      <c r="H1" s="58" t="s">
        <v>12</v>
      </c>
      <c r="I1" s="58" t="s">
        <v>1</v>
      </c>
      <c r="J1" s="55" t="s">
        <v>13</v>
      </c>
      <c r="K1" s="3" t="s">
        <v>14</v>
      </c>
      <c r="L1" s="3" t="s">
        <v>15</v>
      </c>
      <c r="M1" s="7" t="s">
        <v>20</v>
      </c>
      <c r="N1" s="28" t="s">
        <v>25</v>
      </c>
    </row>
    <row r="2" spans="1:14" ht="11.25">
      <c r="A2" s="23" t="str">
        <f>IF(2012-D2&lt;18,"Yth",IF(2012-D2&lt;21,"Jun","Sen"))</f>
        <v>Yth</v>
      </c>
      <c r="B2" s="7">
        <f>VLOOKUP(F2,Men__weight_categories,2,TRUE)</f>
        <v>56</v>
      </c>
      <c r="C2" s="26" t="s">
        <v>39</v>
      </c>
      <c r="D2" s="64">
        <v>1996</v>
      </c>
      <c r="E2" s="65" t="s">
        <v>9</v>
      </c>
      <c r="F2" s="66">
        <v>54</v>
      </c>
      <c r="G2" s="64">
        <v>62</v>
      </c>
      <c r="H2" s="64">
        <v>85</v>
      </c>
      <c r="I2" s="64">
        <f>SUM(G2:H2)</f>
        <v>147</v>
      </c>
      <c r="J2" s="69">
        <f>I2*IF(F2&gt;173.961,1,10^(0.784780654*LOG(F2/173.961)^2))</f>
        <v>234.36207031324196</v>
      </c>
      <c r="K2" s="68">
        <v>40810</v>
      </c>
      <c r="L2" s="26" t="s">
        <v>73</v>
      </c>
      <c r="M2" s="27">
        <f>IF(D2&gt;=1995,I2/VLOOKUP(B2,Standards!$A$3:$H$12,7),"---")</f>
        <v>1.176</v>
      </c>
      <c r="N2" s="25" t="str">
        <f>IF((D2&gt;=1995)*AND(F2&gt;94),(I2/Standards!$G$12),"---")</f>
        <v>---</v>
      </c>
    </row>
    <row r="3" spans="1:14" ht="11.25">
      <c r="A3" s="23" t="str">
        <f>IF(2012-D3&lt;18,"Yth",IF(2012-D3&lt;21,"Jun","Sen"))</f>
        <v>Yth</v>
      </c>
      <c r="B3" s="7">
        <f>VLOOKUP(F3,Men__weight_categories,2,TRUE)</f>
        <v>69</v>
      </c>
      <c r="C3" s="26" t="s">
        <v>53</v>
      </c>
      <c r="D3" s="64">
        <v>1996</v>
      </c>
      <c r="E3" s="65" t="s">
        <v>9</v>
      </c>
      <c r="F3" s="66">
        <v>67.5</v>
      </c>
      <c r="G3" s="64">
        <v>76</v>
      </c>
      <c r="H3" s="64">
        <v>100</v>
      </c>
      <c r="I3" s="64">
        <f>SUM(G3:H3)</f>
        <v>176</v>
      </c>
      <c r="J3" s="66">
        <f>I3*IF(F3&gt;173.961,1,10^(0.784780654*LOG(F3/173.961)^2))</f>
        <v>238.87690874099565</v>
      </c>
      <c r="K3" s="68">
        <v>40810</v>
      </c>
      <c r="L3" s="26" t="s">
        <v>73</v>
      </c>
      <c r="M3" s="27">
        <f>IF(D3&gt;=1995,I3/VLOOKUP(B3,Standards!$A$3:$H$12,7),"---")</f>
        <v>1.1733333333333333</v>
      </c>
      <c r="N3" s="25" t="str">
        <f>IF((D3&gt;=1995)*AND(F3&gt;94),(I3/Standards!$G$12),"---")</f>
        <v>---</v>
      </c>
    </row>
    <row r="4" spans="1:14" ht="11.25">
      <c r="A4" s="23" t="str">
        <f>IF(2012-D4&lt;18,"Yth",IF(2012-D4&lt;21,"Jun","Sen"))</f>
        <v>Yth</v>
      </c>
      <c r="B4" s="7">
        <f>VLOOKUP(F4,Men__weight_categories,2,TRUE)</f>
        <v>56</v>
      </c>
      <c r="C4" s="26" t="s">
        <v>39</v>
      </c>
      <c r="D4" s="64">
        <v>1996</v>
      </c>
      <c r="E4" s="65" t="s">
        <v>9</v>
      </c>
      <c r="F4" s="66">
        <v>54.2</v>
      </c>
      <c r="G4" s="64">
        <v>61</v>
      </c>
      <c r="H4" s="64">
        <v>82</v>
      </c>
      <c r="I4" s="64">
        <f>SUM(G4:H4)</f>
        <v>143</v>
      </c>
      <c r="J4" s="66">
        <f>I4*IF(F4&gt;173.961,1,10^(0.784780654*LOG(F4/173.961)^2))</f>
        <v>227.31482420112164</v>
      </c>
      <c r="K4" s="68">
        <v>40809</v>
      </c>
      <c r="L4" s="26" t="s">
        <v>68</v>
      </c>
      <c r="M4" s="27">
        <f>IF(D4&gt;=1995,I4/VLOOKUP(B4,Standards!$A$3:$H$12,7),"---")</f>
        <v>1.144</v>
      </c>
      <c r="N4" s="25" t="str">
        <f>IF((D4&gt;=1995)*AND(F4&gt;94),(I4/Standards!$G$12),"---")</f>
        <v>---</v>
      </c>
    </row>
    <row r="5" spans="1:14" ht="11.25">
      <c r="A5" s="23" t="str">
        <f>IF(2012-D5&lt;18,"Yth",IF(2012-D5&lt;21,"Jun","Sen"))</f>
        <v>Yth</v>
      </c>
      <c r="B5" s="7">
        <f>VLOOKUP(F5,Men__weight_categories,2,TRUE)</f>
        <v>56</v>
      </c>
      <c r="C5" s="26" t="s">
        <v>61</v>
      </c>
      <c r="D5" s="64">
        <v>1995</v>
      </c>
      <c r="E5" s="65" t="s">
        <v>30</v>
      </c>
      <c r="F5" s="66">
        <v>54.15</v>
      </c>
      <c r="G5" s="64">
        <v>61</v>
      </c>
      <c r="H5" s="64">
        <v>78</v>
      </c>
      <c r="I5" s="64">
        <f>SUM(G5:H5)</f>
        <v>139</v>
      </c>
      <c r="J5" s="69">
        <f>I5*IF(F5&gt;173.961,1,10^(0.784780654*LOG(F5/173.961)^2))</f>
        <v>221.1185956274535</v>
      </c>
      <c r="K5" s="68">
        <v>40810</v>
      </c>
      <c r="L5" s="26" t="s">
        <v>73</v>
      </c>
      <c r="M5" s="27">
        <f>IF(D5&gt;=1995,I5/VLOOKUP(B5,Standards!$A$3:$H$12,7),"---")</f>
        <v>1.112</v>
      </c>
      <c r="N5" s="25" t="str">
        <f>IF((D5&gt;=1995)*AND(F5&gt;94),(I5/Standards!$G$12),"---")</f>
        <v>---</v>
      </c>
    </row>
    <row r="6" spans="1:14" ht="11.25">
      <c r="A6" s="23" t="str">
        <f>IF(2012-D6&lt;18,"Yth",IF(2012-D6&lt;21,"Jun","Sen"))</f>
        <v>Yth</v>
      </c>
      <c r="B6" s="7">
        <f>VLOOKUP(F6,Men__weight_categories,2,TRUE)</f>
        <v>62</v>
      </c>
      <c r="C6" s="26" t="s">
        <v>75</v>
      </c>
      <c r="D6" s="64">
        <v>1996</v>
      </c>
      <c r="E6" s="65" t="s">
        <v>32</v>
      </c>
      <c r="F6" s="66">
        <v>58.2</v>
      </c>
      <c r="G6" s="64">
        <v>65</v>
      </c>
      <c r="H6" s="64">
        <v>90</v>
      </c>
      <c r="I6" s="64">
        <f>SUM(G6:H6)</f>
        <v>155</v>
      </c>
      <c r="J6" s="66">
        <f>I6*IF(F6&gt;173.961,1,10^(0.784780654*LOG(F6/173.961)^2))</f>
        <v>233.23427779082797</v>
      </c>
      <c r="K6" s="68">
        <v>40809</v>
      </c>
      <c r="L6" s="26" t="s">
        <v>68</v>
      </c>
      <c r="M6" s="27">
        <f>IF(D6&gt;=1995,I6/VLOOKUP(B6,Standards!$A$3:$H$12,7),"---")</f>
        <v>1.099290780141844</v>
      </c>
      <c r="N6" s="25" t="str">
        <f>IF((D6&gt;=1995)*AND(F6&gt;94),(I6/Standards!$G$12),"---")</f>
        <v>---</v>
      </c>
    </row>
    <row r="7" spans="1:14" ht="11.25">
      <c r="A7" s="23" t="str">
        <f>IF(2012-D7&lt;18,"Yth",IF(2012-D7&lt;21,"Jun","Sen"))</f>
        <v>Yth</v>
      </c>
      <c r="B7" s="7">
        <f>VLOOKUP(F7,Men__weight_categories,2,TRUE)</f>
        <v>56</v>
      </c>
      <c r="C7" s="26" t="s">
        <v>40</v>
      </c>
      <c r="D7" s="64">
        <v>1996</v>
      </c>
      <c r="E7" s="65" t="s">
        <v>9</v>
      </c>
      <c r="F7" s="66">
        <v>52.45</v>
      </c>
      <c r="G7" s="64">
        <v>57</v>
      </c>
      <c r="H7" s="64">
        <v>75</v>
      </c>
      <c r="I7" s="64">
        <f>SUM(G7:H7)</f>
        <v>132</v>
      </c>
      <c r="J7" s="66">
        <f>I7*IF(F7&gt;173.961,1,10^(0.784780654*LOG(F7/173.961)^2))</f>
        <v>215.45449438082886</v>
      </c>
      <c r="K7" s="68">
        <v>40809</v>
      </c>
      <c r="L7" s="26" t="s">
        <v>68</v>
      </c>
      <c r="M7" s="27">
        <f>IF(D7&gt;=1995,I7/VLOOKUP(B7,Standards!$A$3:$H$12,7),"---")</f>
        <v>1.056</v>
      </c>
      <c r="N7" s="25" t="str">
        <f>IF((D7&gt;=1995)*AND(F7&gt;94),(I7/Standards!$G$12),"---")</f>
        <v>---</v>
      </c>
    </row>
    <row r="8" spans="1:14" ht="11.25">
      <c r="A8" s="23" t="str">
        <f>IF(2012-D8&lt;18,"Yth",IF(2012-D8&lt;21,"Jun","Sen"))</f>
        <v>Yth</v>
      </c>
      <c r="B8" s="7">
        <f>VLOOKUP(F8,Men__weight_categories,2,TRUE)</f>
        <v>105</v>
      </c>
      <c r="C8" s="26" t="s">
        <v>90</v>
      </c>
      <c r="D8" s="64">
        <v>1995</v>
      </c>
      <c r="E8" s="65" t="s">
        <v>30</v>
      </c>
      <c r="F8" s="66">
        <v>103</v>
      </c>
      <c r="G8" s="64">
        <v>88</v>
      </c>
      <c r="H8" s="64">
        <v>105</v>
      </c>
      <c r="I8" s="64">
        <f>SUM(G8:H8)</f>
        <v>193</v>
      </c>
      <c r="J8" s="69">
        <f>I8*IF(F8&gt;173.961,1,10^(0.784780654*LOG(F8/173.961)^2))</f>
        <v>211.94128793517234</v>
      </c>
      <c r="K8" s="68">
        <v>40810</v>
      </c>
      <c r="L8" s="26" t="s">
        <v>73</v>
      </c>
      <c r="M8" s="27">
        <f>IF(D8&gt;=1995,I8/VLOOKUP(B8,Standards!$A$3:$H$12,7),"---")</f>
        <v>1.0211640211640212</v>
      </c>
      <c r="N8" s="25">
        <f>IF((D8&gt;=1995)*AND(F8&gt;94),(I8/Standards!$G$12),"---")</f>
        <v>1.0052083333333333</v>
      </c>
    </row>
    <row r="9" spans="1:14" ht="11.25">
      <c r="A9" s="23" t="str">
        <f>IF(2012-D9&lt;18,"Yth",IF(2012-D9&lt;21,"Jun","Sen"))</f>
        <v>Yth</v>
      </c>
      <c r="B9" s="7">
        <f>VLOOKUP(F9,Men__weight_categories,2,TRUE)</f>
        <v>56</v>
      </c>
      <c r="C9" s="26" t="s">
        <v>47</v>
      </c>
      <c r="D9" s="64">
        <v>1998</v>
      </c>
      <c r="E9" s="65" t="s">
        <v>46</v>
      </c>
      <c r="F9" s="66">
        <v>55.1</v>
      </c>
      <c r="G9" s="64">
        <v>57</v>
      </c>
      <c r="H9" s="64">
        <v>70</v>
      </c>
      <c r="I9" s="64">
        <f>SUM(G9:H9)</f>
        <v>127</v>
      </c>
      <c r="J9" s="69">
        <f>I9*IF(F9&gt;173.961,1,10^(0.784780654*LOG(F9/173.961)^2))</f>
        <v>199.27377819378376</v>
      </c>
      <c r="K9" s="68">
        <v>40809</v>
      </c>
      <c r="L9" s="26" t="s">
        <v>68</v>
      </c>
      <c r="M9" s="27">
        <f>IF(D9&gt;=1995,I9/VLOOKUP(B9,Standards!$A$3:$H$12,7),"---")</f>
        <v>1.016</v>
      </c>
      <c r="N9" s="25" t="str">
        <f>IF((D9&gt;=1995)*AND(F9&gt;94),(I9/Standards!$G$12),"---")</f>
        <v>---</v>
      </c>
    </row>
    <row r="10" spans="1:14" ht="11.25">
      <c r="A10" s="23" t="str">
        <f>IF(2012-D10&lt;18,"Yth",IF(2012-D10&lt;21,"Jun","Sen"))</f>
        <v>Yth</v>
      </c>
      <c r="B10" s="7">
        <f>VLOOKUP(F10,Men__weight_categories,2,TRUE)</f>
        <v>56</v>
      </c>
      <c r="C10" s="26" t="s">
        <v>40</v>
      </c>
      <c r="D10" s="64">
        <v>1996</v>
      </c>
      <c r="E10" s="65" t="s">
        <v>9</v>
      </c>
      <c r="F10" s="66">
        <v>52.95</v>
      </c>
      <c r="G10" s="64">
        <v>53</v>
      </c>
      <c r="H10" s="64">
        <v>74</v>
      </c>
      <c r="I10" s="64">
        <f>SUM(G10:H10)</f>
        <v>127</v>
      </c>
      <c r="J10" s="69">
        <f>I10*IF(F10&gt;173.961,1,10^(0.784780654*LOG(F10/173.961)^2))</f>
        <v>205.69848356444152</v>
      </c>
      <c r="K10" s="68">
        <v>40810</v>
      </c>
      <c r="L10" s="26" t="s">
        <v>73</v>
      </c>
      <c r="M10" s="27">
        <f>IF(D10&gt;=1995,I10/VLOOKUP(B10,Standards!$A$3:$H$12,7),"---")</f>
        <v>1.016</v>
      </c>
      <c r="N10" s="25" t="str">
        <f>IF((D10&gt;=1995)*AND(F10&gt;94),(I10/Standards!$G$12),"---")</f>
        <v>---</v>
      </c>
    </row>
    <row r="11" spans="1:14" ht="11.25">
      <c r="A11" s="23" t="str">
        <f>IF(2012-D11&lt;18,"Yth",IF(2012-D11&lt;21,"Jun","Sen"))</f>
        <v>Yth</v>
      </c>
      <c r="B11" s="7">
        <f>VLOOKUP(F11,Men__weight_categories,2,TRUE)</f>
        <v>62</v>
      </c>
      <c r="C11" s="26" t="s">
        <v>47</v>
      </c>
      <c r="D11" s="64">
        <v>1998</v>
      </c>
      <c r="E11" s="65" t="s">
        <v>46</v>
      </c>
      <c r="F11" s="66">
        <v>56.35</v>
      </c>
      <c r="G11" s="64">
        <v>58</v>
      </c>
      <c r="H11" s="64">
        <v>74</v>
      </c>
      <c r="I11" s="64">
        <f>SUM(G11:H11)</f>
        <v>132</v>
      </c>
      <c r="J11" s="66">
        <f>I11*IF(F11&gt;173.961,1,10^(0.784780654*LOG(F11/173.961)^2))</f>
        <v>203.54477797085877</v>
      </c>
      <c r="K11" s="68">
        <v>40810</v>
      </c>
      <c r="L11" s="26" t="s">
        <v>73</v>
      </c>
      <c r="M11" s="27">
        <f>IF(D11&gt;=1995,I11/VLOOKUP(B11,Standards!$A$3:$H$12,7),"---")</f>
        <v>0.9361702127659575</v>
      </c>
      <c r="N11" s="25" t="str">
        <f>IF((D11&gt;=1995)*AND(F11&gt;94),(I11/Standards!$G$12),"---")</f>
        <v>---</v>
      </c>
    </row>
    <row r="12" spans="1:14" ht="11.25">
      <c r="A12" s="23" t="str">
        <f>IF(2012-D12&lt;18,"Yth",IF(2012-D12&lt;21,"Jun","Sen"))</f>
        <v>Yth</v>
      </c>
      <c r="B12" s="7">
        <f>VLOOKUP(F12,Men__weight_categories,2,TRUE)</f>
        <v>69</v>
      </c>
      <c r="C12" s="26" t="s">
        <v>38</v>
      </c>
      <c r="D12" s="64">
        <v>1996</v>
      </c>
      <c r="E12" s="65" t="s">
        <v>9</v>
      </c>
      <c r="F12" s="66">
        <v>67.55</v>
      </c>
      <c r="G12" s="64">
        <v>61</v>
      </c>
      <c r="H12" s="64">
        <v>78</v>
      </c>
      <c r="I12" s="64">
        <f>SUM(G12:H12)</f>
        <v>139</v>
      </c>
      <c r="J12" s="66">
        <f>I12*IF(F12&gt;173.961,1,10^(0.784780654*LOG(F12/173.961)^2))</f>
        <v>188.56837600807842</v>
      </c>
      <c r="K12" s="68">
        <v>40809</v>
      </c>
      <c r="L12" s="26" t="s">
        <v>68</v>
      </c>
      <c r="M12" s="27">
        <f>IF(D12&gt;=1995,I12/VLOOKUP(B12,Standards!$A$3:$H$12,7),"---")</f>
        <v>0.9266666666666666</v>
      </c>
      <c r="N12" s="25" t="str">
        <f>IF((D12&gt;=1995)*AND(F12&gt;94),(I12/Standards!$G$12),"---")</f>
        <v>---</v>
      </c>
    </row>
    <row r="13" spans="1:14" ht="11.25">
      <c r="A13" s="23" t="str">
        <f>IF(2012-D13&lt;18,"Yth",IF(2012-D13&lt;21,"Jun","Sen"))</f>
        <v>Yth</v>
      </c>
      <c r="B13" s="7">
        <f>VLOOKUP(F13,Men__weight_categories,2,TRUE)</f>
        <v>56</v>
      </c>
      <c r="C13" s="26" t="s">
        <v>74</v>
      </c>
      <c r="D13" s="64">
        <v>1996</v>
      </c>
      <c r="E13" s="65" t="s">
        <v>30</v>
      </c>
      <c r="F13" s="66">
        <v>51</v>
      </c>
      <c r="G13" s="64">
        <v>46</v>
      </c>
      <c r="H13" s="64">
        <v>61</v>
      </c>
      <c r="I13" s="64">
        <f>SUM(G13:H13)</f>
        <v>107</v>
      </c>
      <c r="J13" s="69">
        <f>I13*IF(F13&gt;173.961,1,10^(0.784780654*LOG(F13/173.961)^2))</f>
        <v>178.7443772653986</v>
      </c>
      <c r="K13" s="68">
        <v>40810</v>
      </c>
      <c r="L13" s="26" t="s">
        <v>73</v>
      </c>
      <c r="M13" s="27">
        <f>IF(D13&gt;=1995,I13/VLOOKUP(B13,Standards!$A$3:$H$12,7),"---")</f>
        <v>0.856</v>
      </c>
      <c r="N13" s="25" t="str">
        <f>IF((D13&gt;=1995)*AND(F13&gt;94),(I13/Standards!$G$12),"---")</f>
        <v>---</v>
      </c>
    </row>
    <row r="14" spans="1:14" ht="11.25">
      <c r="A14" s="23" t="str">
        <f>IF(2012-D14&lt;18,"Yth",IF(2012-D14&lt;21,"Jun","Sen"))</f>
        <v>Yth</v>
      </c>
      <c r="B14" s="7">
        <f>VLOOKUP(F14,Men__weight_categories,2,TRUE)</f>
        <v>77</v>
      </c>
      <c r="C14" s="26" t="s">
        <v>38</v>
      </c>
      <c r="D14" s="64">
        <v>1996</v>
      </c>
      <c r="E14" s="65" t="s">
        <v>9</v>
      </c>
      <c r="F14" s="66">
        <v>69.55</v>
      </c>
      <c r="G14" s="64">
        <v>63</v>
      </c>
      <c r="H14" s="64">
        <v>80</v>
      </c>
      <c r="I14" s="64">
        <f>SUM(G14:H14)</f>
        <v>143</v>
      </c>
      <c r="J14" s="66">
        <f>I14*IF(F14&gt;173.961,1,10^(0.784780654*LOG(F14/173.961)^2))</f>
        <v>190.43427989508604</v>
      </c>
      <c r="K14" s="68">
        <v>40810</v>
      </c>
      <c r="L14" s="26" t="s">
        <v>73</v>
      </c>
      <c r="M14" s="27">
        <f>IF(D14&gt;=1995,I14/VLOOKUP(B14,Standards!$A$3:$H$12,7),"---")</f>
        <v>0.8511904761904762</v>
      </c>
      <c r="N14" s="25" t="str">
        <f>IF((D14&gt;=1995)*AND(F14&gt;94),(I14/Standards!$G$12),"---")</f>
        <v>---</v>
      </c>
    </row>
    <row r="15" spans="1:14" ht="11.25">
      <c r="A15" s="23" t="str">
        <f>IF(2012-D15&lt;18,"Yth",IF(2012-D15&lt;21,"Jun","Sen"))</f>
        <v>Yth</v>
      </c>
      <c r="B15" s="7" t="str">
        <f>VLOOKUP(F15,Men__weight_categories,2,TRUE)</f>
        <v>105+</v>
      </c>
      <c r="C15" s="26" t="s">
        <v>92</v>
      </c>
      <c r="D15" s="64">
        <v>1996</v>
      </c>
      <c r="E15" s="65" t="s">
        <v>32</v>
      </c>
      <c r="F15" s="66">
        <v>121.15</v>
      </c>
      <c r="G15" s="64">
        <v>65</v>
      </c>
      <c r="H15" s="64">
        <v>80</v>
      </c>
      <c r="I15" s="64">
        <f>SUM(G15:H15)</f>
        <v>145</v>
      </c>
      <c r="J15" s="66">
        <f>I15*IF(F15&gt;173.961,1,10^(0.784780654*LOG(F15/173.961)^2))</f>
        <v>151.61554555793953</v>
      </c>
      <c r="K15" s="68">
        <v>40809</v>
      </c>
      <c r="L15" s="26" t="s">
        <v>68</v>
      </c>
      <c r="M15" s="27">
        <f>IF(D15&gt;=1995,I15/VLOOKUP(B15,Standards!$A$3:$H$12,7),"---")</f>
        <v>0.7435897435897436</v>
      </c>
      <c r="N15" s="25">
        <f>IF((D15&gt;=1995)*AND(F15&gt;94),(I15/Standards!$G$12),"---")</f>
        <v>0.7552083333333334</v>
      </c>
    </row>
    <row r="16" spans="1:14" ht="11.25">
      <c r="A16" s="23" t="str">
        <f>IF(2012-D16&lt;18,"Yth",IF(2012-D16&lt;21,"Jun","Sen"))</f>
        <v>Yth</v>
      </c>
      <c r="B16" s="7">
        <f>VLOOKUP(F16,Men__weight_categories,2,TRUE)</f>
        <v>69</v>
      </c>
      <c r="C16" s="26" t="s">
        <v>79</v>
      </c>
      <c r="D16" s="64">
        <v>1996</v>
      </c>
      <c r="E16" s="65" t="s">
        <v>30</v>
      </c>
      <c r="F16" s="66">
        <v>66.75</v>
      </c>
      <c r="G16" s="64">
        <v>51</v>
      </c>
      <c r="H16" s="64">
        <v>59</v>
      </c>
      <c r="I16" s="64">
        <f>SUM(G16:H16)</f>
        <v>110</v>
      </c>
      <c r="J16" s="66">
        <f>I16*IF(F16&gt;173.961,1,10^(0.784780654*LOG(F16/173.961)^2))</f>
        <v>150.38485257655506</v>
      </c>
      <c r="K16" s="68">
        <v>40809</v>
      </c>
      <c r="L16" s="26" t="s">
        <v>68</v>
      </c>
      <c r="M16" s="27">
        <f>IF(D16&gt;=1995,I16/VLOOKUP(B16,Standards!$A$3:$H$12,7),"---")</f>
        <v>0.7333333333333333</v>
      </c>
      <c r="N16" s="25" t="str">
        <f>IF((D16&gt;=1995)*AND(F16&gt;94),(I16/Standards!$G$12),"---")</f>
        <v>---</v>
      </c>
    </row>
    <row r="17" spans="1:14" ht="11.25">
      <c r="A17" s="23" t="str">
        <f>IF(2012-D17&lt;18,"Yth",IF(2012-D17&lt;21,"Jun","Sen"))</f>
        <v>Yth</v>
      </c>
      <c r="B17" s="7">
        <f>VLOOKUP(F17,Men__weight_categories,2,TRUE)</f>
        <v>62</v>
      </c>
      <c r="C17" s="26" t="s">
        <v>63</v>
      </c>
      <c r="D17" s="64">
        <v>1996</v>
      </c>
      <c r="E17" s="65" t="s">
        <v>32</v>
      </c>
      <c r="F17" s="66">
        <v>59.2</v>
      </c>
      <c r="G17" s="64">
        <v>45</v>
      </c>
      <c r="H17" s="64">
        <v>55</v>
      </c>
      <c r="I17" s="64">
        <f>SUM(G17:H17)</f>
        <v>100</v>
      </c>
      <c r="J17" s="66">
        <f>I17*IF(F17&gt;173.961,1,10^(0.784780654*LOG(F17/173.961)^2))</f>
        <v>148.5872147722342</v>
      </c>
      <c r="K17" s="68">
        <v>40809</v>
      </c>
      <c r="L17" s="26" t="s">
        <v>68</v>
      </c>
      <c r="M17" s="27">
        <f>IF(D17&gt;=1995,I17/VLOOKUP(B17,Standards!$A$3:$H$12,7),"---")</f>
        <v>0.7092198581560284</v>
      </c>
      <c r="N17" s="25" t="str">
        <f>IF((D17&gt;=1995)*AND(F17&gt;94),(I17/Standards!$G$12),"---")</f>
        <v>---</v>
      </c>
    </row>
    <row r="18" spans="1:14" ht="11.25">
      <c r="A18" s="23" t="str">
        <f>IF(2012-D18&lt;18,"Yth",IF(2012-D18&lt;21,"Jun","Sen"))</f>
        <v>Yth</v>
      </c>
      <c r="B18" s="7">
        <f>VLOOKUP(F18,Men__weight_categories,2,TRUE)</f>
        <v>56</v>
      </c>
      <c r="C18" s="26" t="s">
        <v>72</v>
      </c>
      <c r="D18" s="64">
        <v>1996</v>
      </c>
      <c r="E18" s="65" t="s">
        <v>30</v>
      </c>
      <c r="F18" s="66">
        <v>53.65</v>
      </c>
      <c r="G18" s="64">
        <v>35</v>
      </c>
      <c r="H18" s="64">
        <v>48</v>
      </c>
      <c r="I18" s="64">
        <f>SUM(G18:H18)</f>
        <v>83</v>
      </c>
      <c r="J18" s="69">
        <f>I18*IF(F18&gt;173.961,1,10^(0.784780654*LOG(F18/173.961)^2))</f>
        <v>133.01674210443883</v>
      </c>
      <c r="K18" s="68">
        <v>40809</v>
      </c>
      <c r="L18" s="26" t="s">
        <v>68</v>
      </c>
      <c r="M18" s="27">
        <f>IF(D18&gt;=1995,I18/VLOOKUP(B18,Standards!$A$3:$H$12,7),"---")</f>
        <v>0.664</v>
      </c>
      <c r="N18" s="25" t="str">
        <f>IF((D18&gt;=1995)*AND(F18&gt;94),(I18/Standards!$G$12),"---")</f>
        <v>---</v>
      </c>
    </row>
    <row r="19" spans="1:14" ht="11.25">
      <c r="A19" s="23" t="str">
        <f>IF(2012-D19&lt;18,"Yth",IF(2012-D19&lt;21,"Jun","Sen"))</f>
        <v>Yth</v>
      </c>
      <c r="B19" s="7">
        <f>VLOOKUP(F19,Men__weight_categories,2,TRUE)</f>
        <v>77</v>
      </c>
      <c r="C19" s="26" t="s">
        <v>82</v>
      </c>
      <c r="D19" s="64">
        <v>1997</v>
      </c>
      <c r="E19" s="65" t="s">
        <v>30</v>
      </c>
      <c r="F19" s="66">
        <v>74.95</v>
      </c>
      <c r="G19" s="64">
        <v>51</v>
      </c>
      <c r="H19" s="64">
        <v>60</v>
      </c>
      <c r="I19" s="64">
        <f>SUM(G19:H19)</f>
        <v>111</v>
      </c>
      <c r="J19" s="66">
        <f>I19*IF(F19&gt;173.961,1,10^(0.784780654*LOG(F19/173.961)^2))</f>
        <v>141.34012064391123</v>
      </c>
      <c r="K19" s="68">
        <v>40809</v>
      </c>
      <c r="L19" s="26" t="s">
        <v>68</v>
      </c>
      <c r="M19" s="27">
        <f>IF(D19&gt;=1995,I19/VLOOKUP(B19,Standards!$A$3:$H$12,7),"---")</f>
        <v>0.6607142857142857</v>
      </c>
      <c r="N19" s="25" t="str">
        <f>IF((D19&gt;=1995)*AND(F19&gt;94),(I19/Standards!$G$12),"---")</f>
        <v>---</v>
      </c>
    </row>
    <row r="20" spans="1:14" ht="11.25">
      <c r="A20" s="23" t="str">
        <f>IF(2012-D20&lt;18,"Yth",IF(2012-D20&lt;21,"Jun","Sen"))</f>
        <v>Yth</v>
      </c>
      <c r="B20" s="7">
        <f>VLOOKUP(F20,Men__weight_categories,2,TRUE)</f>
        <v>62</v>
      </c>
      <c r="C20" s="26" t="s">
        <v>76</v>
      </c>
      <c r="D20" s="64">
        <v>1997</v>
      </c>
      <c r="E20" s="65" t="s">
        <v>30</v>
      </c>
      <c r="F20" s="66">
        <v>61.3</v>
      </c>
      <c r="G20" s="64">
        <v>35</v>
      </c>
      <c r="H20" s="64">
        <v>47</v>
      </c>
      <c r="I20" s="64">
        <f>SUM(G20:H20)</f>
        <v>82</v>
      </c>
      <c r="J20" s="66">
        <f>I20*IF(F20&gt;173.961,1,10^(0.784780654*LOG(F20/173.961)^2))</f>
        <v>118.80967445524283</v>
      </c>
      <c r="K20" s="68">
        <v>40809</v>
      </c>
      <c r="L20" s="26" t="s">
        <v>68</v>
      </c>
      <c r="M20" s="27">
        <f>IF(D20&gt;=1995,I20/VLOOKUP(B20,Standards!$A$3:$H$12,7),"---")</f>
        <v>0.5815602836879432</v>
      </c>
      <c r="N20" s="25" t="str">
        <f>IF((D20&gt;=1995)*AND(F20&gt;94),(I20/Standards!$G$12),"---")</f>
        <v>---</v>
      </c>
    </row>
    <row r="21" spans="1:14" ht="11.25">
      <c r="A21" s="23" t="str">
        <f>IF(2012-D21&lt;18,"Yth",IF(2012-D21&lt;21,"Jun","Sen"))</f>
        <v>Yth</v>
      </c>
      <c r="B21" s="7">
        <f>VLOOKUP(F21,Men__weight_categories,2,TRUE)</f>
        <v>50</v>
      </c>
      <c r="C21" s="26" t="s">
        <v>67</v>
      </c>
      <c r="D21" s="64">
        <v>1999</v>
      </c>
      <c r="E21" s="65" t="s">
        <v>30</v>
      </c>
      <c r="F21" s="66">
        <v>36.3</v>
      </c>
      <c r="G21" s="64">
        <v>27</v>
      </c>
      <c r="H21" s="64">
        <v>34</v>
      </c>
      <c r="I21" s="64">
        <f>SUM(G21:H21)</f>
        <v>61</v>
      </c>
      <c r="J21" s="66">
        <f>I21*IF(F21&gt;173.961,1,10^(0.784780654*LOG(F21/173.961)^2))</f>
        <v>140.86224666711712</v>
      </c>
      <c r="K21" s="67">
        <v>40809</v>
      </c>
      <c r="L21" s="26" t="s">
        <v>68</v>
      </c>
      <c r="M21" s="27">
        <f>IF(D21&gt;=1995,I21/VLOOKUP(B21,Standards!$A$3:$H$12,7),"---")</f>
        <v>0.5398230088495575</v>
      </c>
      <c r="N21" s="25" t="str">
        <f>IF((D21&gt;=1995)*AND(F21&gt;94),(I21/Standards!$G$12),"---")</f>
        <v>---</v>
      </c>
    </row>
    <row r="22" spans="1:14" ht="11.25">
      <c r="A22" s="23" t="str">
        <f>IF(2012-D22&lt;18,"Yth",IF(2012-D22&lt;21,"Jun","Sen"))</f>
        <v>Yth</v>
      </c>
      <c r="B22" s="7" t="str">
        <f>VLOOKUP(F22,Men__weight_categories,2,TRUE)</f>
        <v>105+</v>
      </c>
      <c r="C22" s="26" t="s">
        <v>93</v>
      </c>
      <c r="D22" s="64">
        <v>1996</v>
      </c>
      <c r="E22" s="65" t="s">
        <v>32</v>
      </c>
      <c r="F22" s="66">
        <v>105.75</v>
      </c>
      <c r="G22" s="64">
        <v>40</v>
      </c>
      <c r="H22" s="64">
        <v>60</v>
      </c>
      <c r="I22" s="64">
        <f>SUM(G22:H22)</f>
        <v>100</v>
      </c>
      <c r="J22" s="66">
        <f>I22*IF(F22&gt;173.961,1,10^(0.784780654*LOG(F22/173.961)^2))</f>
        <v>108.81102433164116</v>
      </c>
      <c r="K22" s="68">
        <v>40809</v>
      </c>
      <c r="L22" s="26" t="s">
        <v>68</v>
      </c>
      <c r="M22" s="27">
        <f>IF(D22&gt;=1995,I22/VLOOKUP(B22,Standards!$A$3:$H$12,7),"---")</f>
        <v>0.5128205128205128</v>
      </c>
      <c r="N22" s="25">
        <f>IF((D22&gt;=1995)*AND(F22&gt;94),(I22/Standards!$G$12),"---")</f>
        <v>0.5208333333333334</v>
      </c>
    </row>
    <row r="23" spans="1:14" ht="11.25">
      <c r="A23" s="23" t="str">
        <f>IF(2012-D23&lt;18,"Yth",IF(2012-D23&lt;21,"Jun","Sen"))</f>
        <v>Yth</v>
      </c>
      <c r="B23" s="7">
        <f>VLOOKUP(F23,Men__weight_categories,2,TRUE)</f>
        <v>62</v>
      </c>
      <c r="C23" s="26" t="s">
        <v>77</v>
      </c>
      <c r="D23" s="64">
        <v>1997</v>
      </c>
      <c r="E23" s="65" t="s">
        <v>30</v>
      </c>
      <c r="F23" s="66">
        <v>59.1</v>
      </c>
      <c r="G23" s="64">
        <v>31</v>
      </c>
      <c r="H23" s="64">
        <v>41</v>
      </c>
      <c r="I23" s="64">
        <f>SUM(G23:H23)</f>
        <v>72</v>
      </c>
      <c r="J23" s="66">
        <f>I23*IF(F23&gt;173.961,1,10^(0.784780654*LOG(F23/173.961)^2))</f>
        <v>107.11587520531694</v>
      </c>
      <c r="K23" s="68">
        <v>40809</v>
      </c>
      <c r="L23" s="26" t="s">
        <v>68</v>
      </c>
      <c r="M23" s="27">
        <f>IF(D23&gt;=1995,I23/VLOOKUP(B23,Standards!$A$3:$H$12,7),"---")</f>
        <v>0.5106382978723404</v>
      </c>
      <c r="N23" s="25" t="str">
        <f>IF((D23&gt;=1995)*AND(F23&gt;94),(I23/Standards!$G$12),"---")</f>
        <v>---</v>
      </c>
    </row>
    <row r="24" spans="1:14" ht="11.25">
      <c r="A24" s="23" t="str">
        <f>IF(2012-D24&lt;18,"Yth",IF(2012-D24&lt;21,"Jun","Sen"))</f>
        <v>Yth</v>
      </c>
      <c r="B24" s="7">
        <f>VLOOKUP(F24,Men__weight_categories,2,TRUE)</f>
        <v>50</v>
      </c>
      <c r="C24" s="26" t="s">
        <v>70</v>
      </c>
      <c r="D24" s="64">
        <v>1998</v>
      </c>
      <c r="E24" s="65" t="s">
        <v>30</v>
      </c>
      <c r="F24" s="66">
        <v>44.45</v>
      </c>
      <c r="G24" s="64">
        <v>26</v>
      </c>
      <c r="H24" s="64">
        <v>31</v>
      </c>
      <c r="I24" s="64">
        <f>SUM(G24:H24)</f>
        <v>57</v>
      </c>
      <c r="J24" s="66">
        <f>I24*IF(F24&gt;173.961,1,10^(0.784780654*LOG(F24/173.961)^2))</f>
        <v>107.51066111263498</v>
      </c>
      <c r="K24" s="67">
        <v>40809</v>
      </c>
      <c r="L24" s="26" t="s">
        <v>68</v>
      </c>
      <c r="M24" s="27">
        <f>IF(D24&gt;=1995,I24/VLOOKUP(B24,Standards!$A$3:$H$12,7),"---")</f>
        <v>0.504424778761062</v>
      </c>
      <c r="N24" s="25" t="str">
        <f>IF((D24&gt;=1995)*AND(F24&gt;94),(I24/Standards!$G$12),"---")</f>
        <v>---</v>
      </c>
    </row>
    <row r="25" spans="1:14" ht="11.25">
      <c r="A25" s="23" t="str">
        <f>IF(2012-D25&lt;18,"Yth",IF(2012-D25&lt;21,"Jun","Sen"))</f>
        <v>Yth</v>
      </c>
      <c r="B25" s="7">
        <f>VLOOKUP(F25,Men__weight_categories,2,TRUE)</f>
        <v>50</v>
      </c>
      <c r="C25" s="26" t="s">
        <v>69</v>
      </c>
      <c r="D25" s="64">
        <v>1996</v>
      </c>
      <c r="E25" s="65" t="s">
        <v>9</v>
      </c>
      <c r="F25" s="66">
        <v>36.85</v>
      </c>
      <c r="G25" s="64">
        <v>23</v>
      </c>
      <c r="H25" s="64">
        <v>33</v>
      </c>
      <c r="I25" s="64">
        <f>SUM(G25:H25)</f>
        <v>56</v>
      </c>
      <c r="J25" s="66">
        <f>I25*IF(F25&gt;173.961,1,10^(0.784780654*LOG(F25/173.961)^2))</f>
        <v>127.26538058177537</v>
      </c>
      <c r="K25" s="67">
        <v>40809</v>
      </c>
      <c r="L25" s="26" t="s">
        <v>68</v>
      </c>
      <c r="M25" s="27">
        <f>IF(D25&gt;=1995,I25/VLOOKUP(B25,Standards!$A$3:$H$12,7),"---")</f>
        <v>0.49557522123893805</v>
      </c>
      <c r="N25" s="25" t="str">
        <f>IF((D25&gt;=1995)*AND(F25&gt;94),(I25/Standards!$G$12),"---")</f>
        <v>---</v>
      </c>
    </row>
    <row r="26" spans="1:14" ht="11.25">
      <c r="A26" s="23" t="str">
        <f>IF(2012-D26&lt;18,"Yth",IF(2012-D26&lt;21,"Jun","Sen"))</f>
        <v>Yth</v>
      </c>
      <c r="B26" s="7">
        <f>VLOOKUP(F26,Men__weight_categories,2,TRUE)</f>
        <v>69</v>
      </c>
      <c r="C26" s="26" t="s">
        <v>80</v>
      </c>
      <c r="D26" s="64">
        <v>1997</v>
      </c>
      <c r="E26" s="65" t="s">
        <v>30</v>
      </c>
      <c r="F26" s="66">
        <v>62.05</v>
      </c>
      <c r="G26" s="64">
        <v>30</v>
      </c>
      <c r="H26" s="64">
        <v>35</v>
      </c>
      <c r="I26" s="64">
        <f>SUM(G26:H26)</f>
        <v>65</v>
      </c>
      <c r="J26" s="66">
        <f>I26*IF(F26&gt;173.961,1,10^(0.784780654*LOG(F26/173.961)^2))</f>
        <v>93.37233052009898</v>
      </c>
      <c r="K26" s="68">
        <v>40809</v>
      </c>
      <c r="L26" s="26" t="s">
        <v>68</v>
      </c>
      <c r="M26" s="27">
        <f>IF(D26&gt;=1995,I26/VLOOKUP(B26,Standards!$A$3:$H$12,7),"---")</f>
        <v>0.43333333333333335</v>
      </c>
      <c r="N26" s="25" t="str">
        <f>IF((D26&gt;=1995)*AND(F26&gt;94),(I26/Standards!$G$12),"---")</f>
        <v>---</v>
      </c>
    </row>
    <row r="27" spans="1:14" ht="11.25">
      <c r="A27" s="23" t="str">
        <f>IF(2012-D27&lt;18,"Yth",IF(2012-D27&lt;21,"Jun","Sen"))</f>
        <v>Yth</v>
      </c>
      <c r="B27" s="7">
        <f>VLOOKUP(F27,Men__weight_categories,2,TRUE)</f>
        <v>77</v>
      </c>
      <c r="C27" s="26" t="s">
        <v>83</v>
      </c>
      <c r="D27" s="64">
        <v>1998</v>
      </c>
      <c r="E27" s="65" t="s">
        <v>30</v>
      </c>
      <c r="F27" s="66">
        <v>70.65</v>
      </c>
      <c r="G27" s="64">
        <v>30</v>
      </c>
      <c r="H27" s="64">
        <v>37</v>
      </c>
      <c r="I27" s="64">
        <f>SUM(G27:H27)</f>
        <v>67</v>
      </c>
      <c r="J27" s="66">
        <f>I27*IF(F27&gt;173.961,1,10^(0.784780654*LOG(F27/173.961)^2))</f>
        <v>88.36116552949167</v>
      </c>
      <c r="K27" s="68">
        <v>40809</v>
      </c>
      <c r="L27" s="26" t="s">
        <v>68</v>
      </c>
      <c r="M27" s="27">
        <f>IF(D27&gt;=1995,I27/VLOOKUP(B27,Standards!$A$3:$H$12,7),"---")</f>
        <v>0.39880952380952384</v>
      </c>
      <c r="N27" s="25" t="str">
        <f>IF((D27&gt;=1995)*AND(F27&gt;94),(I27/Standards!$G$12),"---")</f>
        <v>---</v>
      </c>
    </row>
    <row r="28" spans="1:14" ht="11.25">
      <c r="A28" s="23" t="str">
        <f>IF(2012-D28&lt;18,"Yth",IF(2012-D28&lt;21,"Jun","Sen"))</f>
        <v>Yth</v>
      </c>
      <c r="B28" s="7">
        <f>VLOOKUP(F28,Men__weight_categories,2,TRUE)</f>
        <v>94</v>
      </c>
      <c r="C28" s="26" t="s">
        <v>88</v>
      </c>
      <c r="D28" s="64">
        <v>1997</v>
      </c>
      <c r="E28" s="65" t="s">
        <v>30</v>
      </c>
      <c r="F28" s="66">
        <v>87.1</v>
      </c>
      <c r="G28" s="64">
        <v>34</v>
      </c>
      <c r="H28" s="64">
        <v>39</v>
      </c>
      <c r="I28" s="64">
        <f>SUM(G28:H28)</f>
        <v>73</v>
      </c>
      <c r="J28" s="66">
        <f>I28*IF(F28&gt;173.961,1,10^(0.784780654*LOG(F28/173.961)^2))</f>
        <v>85.93251079958875</v>
      </c>
      <c r="K28" s="68">
        <v>40809</v>
      </c>
      <c r="L28" s="26" t="s">
        <v>68</v>
      </c>
      <c r="M28" s="27">
        <f>IF(D28&gt;=1995,I28/VLOOKUP(B28,Standards!$A$3:$H$12,7),"---")</f>
        <v>0.3945945945945946</v>
      </c>
      <c r="N28" s="25" t="str">
        <f>IF((D28&gt;=1995)*AND(F28&gt;94),(I28/Standards!$G$12),"---")</f>
        <v>---</v>
      </c>
    </row>
    <row r="29" spans="1:14" ht="11.25">
      <c r="A29" s="23" t="str">
        <f>IF(2012-D29&lt;18,"Yth",IF(2012-D29&lt;21,"Jun","Sen"))</f>
        <v>Yth</v>
      </c>
      <c r="B29" s="7">
        <f>VLOOKUP(F29,Men__weight_categories,2,TRUE)</f>
        <v>50</v>
      </c>
      <c r="C29" s="26" t="s">
        <v>71</v>
      </c>
      <c r="D29" s="64">
        <v>1998</v>
      </c>
      <c r="E29" s="65" t="s">
        <v>30</v>
      </c>
      <c r="F29" s="66">
        <v>42.2</v>
      </c>
      <c r="G29" s="64">
        <v>18</v>
      </c>
      <c r="H29" s="64">
        <v>25</v>
      </c>
      <c r="I29" s="64">
        <f>SUM(G29:H29)</f>
        <v>43</v>
      </c>
      <c r="J29" s="66">
        <f>I29*IF(F29&gt;173.961,1,10^(0.784780654*LOG(F29/173.961)^2))</f>
        <v>85.19747754963399</v>
      </c>
      <c r="K29" s="67">
        <v>40809</v>
      </c>
      <c r="L29" s="26" t="s">
        <v>68</v>
      </c>
      <c r="M29" s="27">
        <f>IF(D29&gt;=1995,I29/VLOOKUP(B29,Standards!$A$3:$H$12,7),"---")</f>
        <v>0.3805309734513274</v>
      </c>
      <c r="N29" s="25" t="str">
        <f>IF((D29&gt;=1995)*AND(F29&gt;94),(I29/Standards!$G$12),"---")</f>
        <v>---</v>
      </c>
    </row>
  </sheetData>
  <sheetProtection/>
  <conditionalFormatting sqref="A2:A29">
    <cfRule type="containsText" priority="4" dxfId="0" operator="containsText" text="Jun">
      <formula>NOT(ISERROR(SEARCH("Jun",A2)))</formula>
    </cfRule>
  </conditionalFormatting>
  <conditionalFormatting sqref="A2:A29">
    <cfRule type="containsText" priority="3" dxfId="1" operator="containsText" text="Yth">
      <formula>NOT(ISERROR(SEARCH("Yth",A2)))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6.140625" style="24" bestFit="1" customWidth="1"/>
    <col min="2" max="2" width="3.57421875" style="24" bestFit="1" customWidth="1"/>
    <col min="3" max="3" width="16.421875" style="24" customWidth="1"/>
    <col min="4" max="4" width="6.57421875" style="24" customWidth="1"/>
    <col min="5" max="5" width="4.57421875" style="24" bestFit="1" customWidth="1"/>
    <col min="6" max="6" width="6.7109375" style="24" bestFit="1" customWidth="1"/>
    <col min="7" max="7" width="6.00390625" style="24" bestFit="1" customWidth="1"/>
    <col min="8" max="8" width="5.7109375" style="24" bestFit="1" customWidth="1"/>
    <col min="9" max="9" width="4.421875" style="24" bestFit="1" customWidth="1"/>
    <col min="10" max="10" width="6.57421875" style="24" bestFit="1" customWidth="1"/>
    <col min="11" max="11" width="10.140625" style="24" bestFit="1" customWidth="1"/>
    <col min="12" max="12" width="20.140625" style="24" customWidth="1"/>
    <col min="13" max="13" width="9.28125" style="24" bestFit="1" customWidth="1"/>
    <col min="14" max="15" width="7.140625" style="47" bestFit="1" customWidth="1"/>
    <col min="16" max="16" width="12.57421875" style="47" bestFit="1" customWidth="1"/>
    <col min="17" max="16384" width="9.140625" style="24" customWidth="1"/>
  </cols>
  <sheetData>
    <row r="1" spans="1:16" s="3" customFormat="1" ht="11.25">
      <c r="A1" s="28" t="s">
        <v>4</v>
      </c>
      <c r="B1" s="28" t="s">
        <v>22</v>
      </c>
      <c r="C1" s="3" t="s">
        <v>0</v>
      </c>
      <c r="D1" s="4" t="s">
        <v>2</v>
      </c>
      <c r="E1" s="3" t="s">
        <v>10</v>
      </c>
      <c r="F1" s="5" t="s">
        <v>11</v>
      </c>
      <c r="G1" s="6" t="s">
        <v>3</v>
      </c>
      <c r="H1" s="6" t="s">
        <v>12</v>
      </c>
      <c r="I1" s="6" t="s">
        <v>1</v>
      </c>
      <c r="J1" s="5" t="s">
        <v>13</v>
      </c>
      <c r="K1" s="3" t="s">
        <v>14</v>
      </c>
      <c r="L1" s="3" t="s">
        <v>15</v>
      </c>
      <c r="M1" s="28" t="s">
        <v>28</v>
      </c>
      <c r="N1" s="7" t="s">
        <v>18</v>
      </c>
      <c r="O1" s="7" t="s">
        <v>20</v>
      </c>
      <c r="P1" s="7" t="s">
        <v>36</v>
      </c>
    </row>
    <row r="2" spans="1:16" ht="11.25">
      <c r="A2" s="23" t="str">
        <f>IF(2012-D2&lt;18,"Yth",IF(2012-D2&lt;21,"Jun","Sen"))</f>
        <v>Jun</v>
      </c>
      <c r="B2" s="7">
        <f>VLOOKUP(F2,Women__weight_categories,2,TRUE)</f>
        <v>58</v>
      </c>
      <c r="C2" s="26" t="s">
        <v>60</v>
      </c>
      <c r="D2" s="64">
        <v>1992</v>
      </c>
      <c r="E2" s="65" t="s">
        <v>9</v>
      </c>
      <c r="F2" s="66">
        <v>57.95</v>
      </c>
      <c r="G2" s="64">
        <v>66</v>
      </c>
      <c r="H2" s="64">
        <v>71</v>
      </c>
      <c r="I2" s="64">
        <f>SUM(G2:H2)</f>
        <v>137</v>
      </c>
      <c r="J2" s="69">
        <f>I2*IF(F2&gt;125.441,1,10^(1.056683941*LOG(F2/125.441)^2))</f>
        <v>180.12765994918811</v>
      </c>
      <c r="K2" s="68">
        <v>40811</v>
      </c>
      <c r="L2" s="26" t="s">
        <v>73</v>
      </c>
      <c r="M2" s="8">
        <f>I2/VLOOKUP(B2,Standards!$J$3:$Q$11,3)</f>
        <v>0.8616352201257862</v>
      </c>
      <c r="N2" s="27">
        <f>IF(D2&gt;=1992,I2/VLOOKUP(B2,Standards!$J$3:$Q$11,5),"---")</f>
        <v>1.0378787878787878</v>
      </c>
      <c r="O2" s="27" t="str">
        <f>IF(D2&gt;=1995,I2/VLOOKUP(B2,Standards!$J$3:$Q$11,7),"---")</f>
        <v>---</v>
      </c>
      <c r="P2" s="25" t="str">
        <f>IF((D2&gt;=1995)*AND(F2&gt;69),(I2/Standards!$P$10),"---")</f>
        <v>---</v>
      </c>
    </row>
    <row r="3" spans="1:16" ht="11.25">
      <c r="A3" s="23" t="str">
        <f>IF(2012-D3&lt;18,"Yth",IF(2012-D3&lt;21,"Jun","Sen"))</f>
        <v>Jun</v>
      </c>
      <c r="B3" s="7">
        <f>VLOOKUP(F3,Women__weight_categories,2,TRUE)</f>
        <v>58</v>
      </c>
      <c r="C3" s="26" t="s">
        <v>59</v>
      </c>
      <c r="D3" s="64">
        <v>1994</v>
      </c>
      <c r="E3" s="65" t="s">
        <v>52</v>
      </c>
      <c r="F3" s="66">
        <v>57.65</v>
      </c>
      <c r="G3" s="64">
        <v>52</v>
      </c>
      <c r="H3" s="64">
        <v>76</v>
      </c>
      <c r="I3" s="64">
        <f>SUM(G3:H3)</f>
        <v>128</v>
      </c>
      <c r="J3" s="69">
        <f>I3*IF(F3&gt;125.441,1,10^(1.056683941*LOG(F3/125.441)^2))</f>
        <v>168.91681806798437</v>
      </c>
      <c r="K3" s="68">
        <v>40811</v>
      </c>
      <c r="L3" s="26" t="s">
        <v>73</v>
      </c>
      <c r="M3" s="8">
        <f>I3/VLOOKUP(B3,Standards!$J$3:$Q$11,3)</f>
        <v>0.8050314465408805</v>
      </c>
      <c r="N3" s="27">
        <f>IF(D3&gt;=1992,I3/VLOOKUP(B3,Standards!$J$3:$Q$11,5),"---")</f>
        <v>0.9696969696969697</v>
      </c>
      <c r="O3" s="27" t="str">
        <f>IF(D3&gt;=1995,I3/VLOOKUP(B3,Standards!$J$3:$Q$11,7),"---")</f>
        <v>---</v>
      </c>
      <c r="P3" s="25" t="str">
        <f>IF((D3&gt;=1995)*AND(F3&gt;69),(I3/Standards!$P$10),"---")</f>
        <v>---</v>
      </c>
    </row>
    <row r="4" spans="1:16" ht="11.25">
      <c r="A4" s="23" t="str">
        <f>IF(2012-D4&lt;18,"Yth",IF(2012-D4&lt;21,"Jun","Sen"))</f>
        <v>Yth</v>
      </c>
      <c r="B4" s="7" t="str">
        <f>VLOOKUP(F4,Women__weight_categories,2,TRUE)</f>
        <v>75+</v>
      </c>
      <c r="C4" s="26" t="s">
        <v>50</v>
      </c>
      <c r="D4" s="64">
        <v>1996</v>
      </c>
      <c r="E4" s="65" t="s">
        <v>46</v>
      </c>
      <c r="F4" s="66">
        <v>93.4</v>
      </c>
      <c r="G4" s="64">
        <v>58</v>
      </c>
      <c r="H4" s="64">
        <v>79</v>
      </c>
      <c r="I4" s="64">
        <f>SUM(G4:H4)</f>
        <v>137</v>
      </c>
      <c r="J4" s="69">
        <f>I4*IF(F4&gt;125.441,1,10^(1.056683941*LOG(F4/125.441)^2))</f>
        <v>142.57991244836123</v>
      </c>
      <c r="K4" s="68">
        <v>40811</v>
      </c>
      <c r="L4" s="26" t="s">
        <v>73</v>
      </c>
      <c r="M4" s="8">
        <f>I4/VLOOKUP(B4,Standards!$J$3:$Q$11,3)</f>
        <v>0.685</v>
      </c>
      <c r="N4" s="27">
        <f>IF(D4&gt;=1992,I4/VLOOKUP(B4,Standards!$J$3:$Q$11,5),"---")</f>
        <v>0.8203592814371258</v>
      </c>
      <c r="O4" s="27">
        <f>IF(D4&gt;=1995,I4/VLOOKUP(B4,Standards!$J$3:$Q$11,7),"---")</f>
        <v>1.1229508196721312</v>
      </c>
      <c r="P4" s="25">
        <f>IF((D4&gt;=1995)*AND(F4&gt;69),(I4/Standards!$P$10),"---")</f>
        <v>1.1810344827586208</v>
      </c>
    </row>
    <row r="5" spans="1:16" ht="11.25">
      <c r="A5" s="23" t="str">
        <f>IF(2012-D5&lt;18,"Yth",IF(2012-D5&lt;21,"Jun","Sen"))</f>
        <v>Yth</v>
      </c>
      <c r="B5" s="7">
        <f>VLOOKUP(F5,Women__weight_categories,2,TRUE)</f>
        <v>58</v>
      </c>
      <c r="C5" s="26" t="s">
        <v>58</v>
      </c>
      <c r="D5" s="64">
        <v>1997</v>
      </c>
      <c r="E5" s="65" t="s">
        <v>34</v>
      </c>
      <c r="F5" s="66">
        <v>56.4</v>
      </c>
      <c r="G5" s="64">
        <v>46</v>
      </c>
      <c r="H5" s="64">
        <v>61</v>
      </c>
      <c r="I5" s="64">
        <f>SUM(G5:H5)</f>
        <v>107</v>
      </c>
      <c r="J5" s="69">
        <f>I5*IF(F5&gt;125.441,1,10^(1.056683941*LOG(F5/125.441)^2))</f>
        <v>143.46160709896765</v>
      </c>
      <c r="K5" s="68">
        <v>40811</v>
      </c>
      <c r="L5" s="26" t="s">
        <v>73</v>
      </c>
      <c r="M5" s="8">
        <f>I5/VLOOKUP(B5,Standards!$J$3:$Q$11,3)</f>
        <v>0.6729559748427673</v>
      </c>
      <c r="N5" s="27">
        <f>IF(D5&gt;=1992,I5/VLOOKUP(B5,Standards!$J$3:$Q$11,5),"---")</f>
        <v>0.8106060606060606</v>
      </c>
      <c r="O5" s="27">
        <f>IF(D5&gt;=1995,I5/VLOOKUP(B5,Standards!$J$3:$Q$11,7),"---")</f>
        <v>1.1030927835051547</v>
      </c>
      <c r="P5" s="25" t="str">
        <f>IF((D5&gt;=1995)*AND(F5&gt;69),(I5/Standards!$P$10),"---")</f>
        <v>---</v>
      </c>
    </row>
    <row r="6" spans="1:16" ht="11.25">
      <c r="A6" s="23" t="str">
        <f>IF(2012-D6&lt;18,"Yth",IF(2012-D6&lt;21,"Jun","Sen"))</f>
        <v>Yth</v>
      </c>
      <c r="B6" s="7">
        <f>VLOOKUP(F6,Women__weight_categories,2,TRUE)</f>
        <v>69</v>
      </c>
      <c r="C6" s="26" t="s">
        <v>48</v>
      </c>
      <c r="D6" s="64">
        <v>1995</v>
      </c>
      <c r="E6" s="65" t="s">
        <v>46</v>
      </c>
      <c r="F6" s="66">
        <v>67.3</v>
      </c>
      <c r="G6" s="64">
        <v>51</v>
      </c>
      <c r="H6" s="64">
        <v>67</v>
      </c>
      <c r="I6" s="64">
        <f>SUM(G6:H6)</f>
        <v>118</v>
      </c>
      <c r="J6" s="69">
        <f>I6*IF(F6&gt;125.441,1,10^(1.056683941*LOG(F6/125.441)^2))</f>
        <v>140.97972148642435</v>
      </c>
      <c r="K6" s="68">
        <v>40811</v>
      </c>
      <c r="L6" s="26" t="s">
        <v>73</v>
      </c>
      <c r="M6" s="8">
        <f>I6/VLOOKUP(B6,Standards!$J$3:$Q$11,3)</f>
        <v>0.6555555555555556</v>
      </c>
      <c r="N6" s="27">
        <f>IF(D6&gt;=1992,I6/VLOOKUP(B6,Standards!$J$3:$Q$11,5),"---")</f>
        <v>0.7866666666666666</v>
      </c>
      <c r="O6" s="27">
        <f>IF(D6&gt;=1995,I6/VLOOKUP(B6,Standards!$J$3:$Q$11,7),"---")</f>
        <v>1.0727272727272728</v>
      </c>
      <c r="P6" s="25" t="str">
        <f>IF((D6&gt;=1995)*AND(F6&gt;69),(I6/Standards!$P$10),"---")</f>
        <v>---</v>
      </c>
    </row>
    <row r="7" spans="1:16" ht="11.25">
      <c r="A7" s="23" t="str">
        <f>IF(2012-D7&lt;18,"Yth",IF(2012-D7&lt;21,"Jun","Sen"))</f>
        <v>Yth</v>
      </c>
      <c r="B7" s="7" t="str">
        <f>VLOOKUP(F7,Women__weight_categories,2,TRUE)</f>
        <v>75+</v>
      </c>
      <c r="C7" s="26" t="s">
        <v>50</v>
      </c>
      <c r="D7" s="64">
        <v>1996</v>
      </c>
      <c r="E7" s="65" t="s">
        <v>46</v>
      </c>
      <c r="F7" s="66">
        <v>92.6</v>
      </c>
      <c r="G7" s="64">
        <v>55</v>
      </c>
      <c r="H7" s="64">
        <v>76</v>
      </c>
      <c r="I7" s="64">
        <f>SUM(G7:H7)</f>
        <v>131</v>
      </c>
      <c r="J7" s="69">
        <f>I7*IF(F7&gt;125.441,1,10^(1.056683941*LOG(F7/125.441)^2))</f>
        <v>136.6580285083945</v>
      </c>
      <c r="K7" s="68">
        <v>40809</v>
      </c>
      <c r="L7" s="26" t="s">
        <v>95</v>
      </c>
      <c r="M7" s="8">
        <f>I7/VLOOKUP(B7,Standards!$J$3:$Q$11,3)</f>
        <v>0.655</v>
      </c>
      <c r="N7" s="27">
        <f>IF(D7&gt;=1992,I7/VLOOKUP(B7,Standards!$J$3:$Q$11,5),"---")</f>
        <v>0.7844311377245509</v>
      </c>
      <c r="O7" s="27">
        <f>IF(D7&gt;=1995,I7/VLOOKUP(B7,Standards!$J$3:$Q$11,7),"---")</f>
        <v>1.0737704918032787</v>
      </c>
      <c r="P7" s="25">
        <f>IF((D7&gt;=1995)*AND(F7&gt;69),(I7/Standards!$P$10),"---")</f>
        <v>1.1293103448275863</v>
      </c>
    </row>
    <row r="8" spans="1:16" ht="11.25">
      <c r="A8" s="23" t="str">
        <f>IF(2012-D8&lt;18,"Yth",IF(2012-D8&lt;21,"Jun","Sen"))</f>
        <v>Yth</v>
      </c>
      <c r="B8" s="7">
        <f>VLOOKUP(F8,Women__weight_categories,2,TRUE)</f>
        <v>58</v>
      </c>
      <c r="C8" s="26" t="s">
        <v>58</v>
      </c>
      <c r="D8" s="64">
        <v>1997</v>
      </c>
      <c r="E8" s="65" t="s">
        <v>34</v>
      </c>
      <c r="F8" s="66">
        <v>56.55</v>
      </c>
      <c r="G8" s="64">
        <v>45</v>
      </c>
      <c r="H8" s="64">
        <v>59</v>
      </c>
      <c r="I8" s="64">
        <f>SUM(G8:H8)</f>
        <v>104</v>
      </c>
      <c r="J8" s="69">
        <f>I8*IF(F8&gt;125.441,1,10^(1.056683941*LOG(F8/125.441)^2))</f>
        <v>139.16831154060552</v>
      </c>
      <c r="K8" s="68">
        <v>40809</v>
      </c>
      <c r="L8" s="26" t="s">
        <v>95</v>
      </c>
      <c r="M8" s="8">
        <f>I8/VLOOKUP(B8,Standards!$J$3:$Q$11,3)</f>
        <v>0.6540880503144654</v>
      </c>
      <c r="N8" s="27">
        <f>IF(D8&gt;=1992,I8/VLOOKUP(B8,Standards!$J$3:$Q$11,5),"---")</f>
        <v>0.7878787878787878</v>
      </c>
      <c r="O8" s="27">
        <f>IF(D8&gt;=1995,I8/VLOOKUP(B8,Standards!$J$3:$Q$11,7),"---")</f>
        <v>1.0721649484536082</v>
      </c>
      <c r="P8" s="25" t="str">
        <f>IF((D8&gt;=1995)*AND(F8&gt;69),(I8/Standards!$P$10),"---")</f>
        <v>---</v>
      </c>
    </row>
    <row r="9" spans="1:16" ht="11.25">
      <c r="A9" s="23" t="str">
        <f>IF(2012-D9&lt;18,"Yth",IF(2012-D9&lt;21,"Jun","Sen"))</f>
        <v>Yth</v>
      </c>
      <c r="B9" s="7">
        <f>VLOOKUP(F9,Women__weight_categories,2,TRUE)</f>
        <v>53</v>
      </c>
      <c r="C9" s="26" t="s">
        <v>66</v>
      </c>
      <c r="D9" s="64">
        <v>1999</v>
      </c>
      <c r="E9" s="65" t="s">
        <v>34</v>
      </c>
      <c r="F9" s="66">
        <v>50.9</v>
      </c>
      <c r="G9" s="64">
        <v>43</v>
      </c>
      <c r="H9" s="64">
        <v>57</v>
      </c>
      <c r="I9" s="64">
        <f>SUM(G9:H9)</f>
        <v>100</v>
      </c>
      <c r="J9" s="69">
        <f>I9*IF(F9&gt;125.441,1,10^(1.056683941*LOG(F9/125.441)^2))</f>
        <v>145.25926049532376</v>
      </c>
      <c r="K9" s="68">
        <v>40809</v>
      </c>
      <c r="L9" s="26" t="s">
        <v>95</v>
      </c>
      <c r="M9" s="8">
        <f>I9/VLOOKUP(B9,Standards!$J$3:$Q$11,3)</f>
        <v>0.6535947712418301</v>
      </c>
      <c r="N9" s="27">
        <f>IF(D9&gt;=1992,I9/VLOOKUP(B9,Standards!$J$3:$Q$11,5),"---")</f>
        <v>0.7874015748031497</v>
      </c>
      <c r="O9" s="27">
        <f>IF(D9&gt;=1995,I9/VLOOKUP(B9,Standards!$J$3:$Q$11,7),"---")</f>
        <v>1.075268817204301</v>
      </c>
      <c r="P9" s="25" t="str">
        <f>IF((D9&gt;=1995)*AND(F9&gt;69),(I9/Standards!$P$10),"---")</f>
        <v>---</v>
      </c>
    </row>
    <row r="10" spans="1:16" ht="11.25">
      <c r="A10" s="23" t="str">
        <f>IF(2012-D10&lt;18,"Yth",IF(2012-D10&lt;21,"Jun","Sen"))</f>
        <v>Jun</v>
      </c>
      <c r="B10" s="7">
        <f>VLOOKUP(F10,Women__weight_categories,2,TRUE)</f>
        <v>53</v>
      </c>
      <c r="C10" s="26" t="s">
        <v>42</v>
      </c>
      <c r="D10" s="64">
        <v>1994</v>
      </c>
      <c r="E10" s="65" t="s">
        <v>9</v>
      </c>
      <c r="F10" s="66">
        <v>51.7</v>
      </c>
      <c r="G10" s="64">
        <v>42</v>
      </c>
      <c r="H10" s="64">
        <v>58</v>
      </c>
      <c r="I10" s="64">
        <f>SUM(G10:H10)</f>
        <v>100</v>
      </c>
      <c r="J10" s="69">
        <f>I10*IF(F10&gt;125.441,1,10^(1.056683941*LOG(F10/125.441)^2))</f>
        <v>143.41198762289807</v>
      </c>
      <c r="K10" s="68">
        <v>40811</v>
      </c>
      <c r="L10" s="26" t="s">
        <v>73</v>
      </c>
      <c r="M10" s="8">
        <f>I10/VLOOKUP(B10,Standards!$J$3:$Q$11,3)</f>
        <v>0.6535947712418301</v>
      </c>
      <c r="N10" s="27">
        <f>IF(D10&gt;=1992,I10/VLOOKUP(B10,Standards!$J$3:$Q$11,5),"---")</f>
        <v>0.7874015748031497</v>
      </c>
      <c r="O10" s="27" t="str">
        <f>IF(D10&gt;=1995,I10/VLOOKUP(B10,Standards!$J$3:$Q$11,7),"---")</f>
        <v>---</v>
      </c>
      <c r="P10" s="25" t="str">
        <f>IF((D10&gt;=1995)*AND(F10&gt;69),(I10/Standards!$P$10),"---")</f>
        <v>---</v>
      </c>
    </row>
    <row r="11" spans="1:16" ht="11.25">
      <c r="A11" s="23" t="str">
        <f>IF(2012-D11&lt;18,"Yth",IF(2012-D11&lt;21,"Jun","Sen"))</f>
        <v>Yth</v>
      </c>
      <c r="B11" s="7">
        <f>VLOOKUP(F11,Women__weight_categories,2,TRUE)</f>
        <v>63</v>
      </c>
      <c r="C11" s="26" t="s">
        <v>100</v>
      </c>
      <c r="D11" s="64">
        <v>1997</v>
      </c>
      <c r="E11" s="65" t="s">
        <v>30</v>
      </c>
      <c r="F11" s="66">
        <v>61.1</v>
      </c>
      <c r="G11" s="64">
        <v>47</v>
      </c>
      <c r="H11" s="64">
        <v>67</v>
      </c>
      <c r="I11" s="64">
        <f>SUM(G11:H11)</f>
        <v>114</v>
      </c>
      <c r="J11" s="69">
        <f>I11*IF(F11&gt;125.441,1,10^(1.056683941*LOG(F11/125.441)^2))</f>
        <v>144.55379111073478</v>
      </c>
      <c r="K11" s="68">
        <v>40809</v>
      </c>
      <c r="L11" s="26" t="s">
        <v>95</v>
      </c>
      <c r="M11" s="8">
        <f>I11/VLOOKUP(B11,Standards!$J$3:$Q$11,3)</f>
        <v>0.6514285714285715</v>
      </c>
      <c r="N11" s="27">
        <f>IF(D11&gt;=1992,I11/VLOOKUP(B11,Standards!$J$3:$Q$11,5),"---")</f>
        <v>0.7808219178082192</v>
      </c>
      <c r="O11" s="27">
        <f>IF(D11&gt;=1995,I11/VLOOKUP(B11,Standards!$J$3:$Q$11,7),"---")</f>
        <v>1.0654205607476634</v>
      </c>
      <c r="P11" s="25" t="str">
        <f>IF((D11&gt;=1995)*AND(F11&gt;69),(I11/Standards!$P$10),"---")</f>
        <v>---</v>
      </c>
    </row>
    <row r="12" spans="1:16" ht="11.25">
      <c r="A12" s="23" t="str">
        <f>IF(2012-D12&lt;18,"Yth",IF(2012-D12&lt;21,"Jun","Sen"))</f>
        <v>Yth</v>
      </c>
      <c r="B12" s="7">
        <f>VLOOKUP(F12,Women__weight_categories,2,TRUE)</f>
        <v>63</v>
      </c>
      <c r="C12" s="26" t="s">
        <v>100</v>
      </c>
      <c r="D12" s="64">
        <v>1997</v>
      </c>
      <c r="E12" s="65" t="s">
        <v>30</v>
      </c>
      <c r="F12" s="66">
        <v>62</v>
      </c>
      <c r="G12" s="64">
        <v>44</v>
      </c>
      <c r="H12" s="64">
        <v>67</v>
      </c>
      <c r="I12" s="64">
        <f>SUM(G12:H12)</f>
        <v>111</v>
      </c>
      <c r="J12" s="69">
        <f>I12*IF(F12&gt;125.441,1,10^(1.056683941*LOG(F12/125.441)^2))</f>
        <v>139.4111668367301</v>
      </c>
      <c r="K12" s="68">
        <v>40809</v>
      </c>
      <c r="L12" s="26" t="s">
        <v>73</v>
      </c>
      <c r="M12" s="8">
        <f>I12/VLOOKUP(B12,Standards!$J$3:$Q$11,3)</f>
        <v>0.6342857142857142</v>
      </c>
      <c r="N12" s="27">
        <f>IF(D12&gt;=1992,I12/VLOOKUP(B12,Standards!$J$3:$Q$11,5),"---")</f>
        <v>0.7602739726027398</v>
      </c>
      <c r="O12" s="27">
        <f>IF(D12&gt;=1995,I12/VLOOKUP(B12,Standards!$J$3:$Q$11,7),"---")</f>
        <v>1.0373831775700935</v>
      </c>
      <c r="P12" s="25" t="str">
        <f>IF((D12&gt;=1995)*AND(F12&gt;69),(I12/Standards!$P$10),"---")</f>
        <v>---</v>
      </c>
    </row>
    <row r="13" spans="1:16" ht="11.25">
      <c r="A13" s="23" t="str">
        <f>IF(2012-D13&lt;18,"Yth",IF(2012-D13&lt;21,"Jun","Sen"))</f>
        <v>Yth</v>
      </c>
      <c r="B13" s="7">
        <f>VLOOKUP(F13,Women__weight_categories,2,TRUE)</f>
        <v>44</v>
      </c>
      <c r="C13" s="26" t="s">
        <v>57</v>
      </c>
      <c r="D13" s="64">
        <v>1995</v>
      </c>
      <c r="E13" s="65" t="s">
        <v>34</v>
      </c>
      <c r="F13" s="66">
        <v>42.55</v>
      </c>
      <c r="G13" s="64">
        <v>37</v>
      </c>
      <c r="H13" s="64">
        <v>46</v>
      </c>
      <c r="I13" s="64">
        <f>SUM(G13:H13)</f>
        <v>83</v>
      </c>
      <c r="J13" s="69">
        <f>I13*IF(F13&gt;125.441,1,10^(1.056683941*LOG(F13/125.441)^2))</f>
        <v>141.91974818991588</v>
      </c>
      <c r="K13" s="68">
        <v>40811</v>
      </c>
      <c r="L13" s="26" t="s">
        <v>73</v>
      </c>
      <c r="M13" s="8">
        <f>I13/VLOOKUP(B13,Standards!$J$3:$Q$11,3)</f>
        <v>0.6058394160583942</v>
      </c>
      <c r="N13" s="27">
        <f>IF(D13&gt;=1992,I13/VLOOKUP(B13,Standards!$J$3:$Q$11,5),"---")</f>
        <v>0.7280701754385965</v>
      </c>
      <c r="O13" s="27">
        <f>IF(D13&gt;=1995,I13/VLOOKUP(B13,Standards!$J$3:$Q$11,7),"---")</f>
        <v>1.0921052631578947</v>
      </c>
      <c r="P13" s="25" t="str">
        <f>IF((D13&gt;=1995)*AND(F13&gt;69),(I13/Standards!$P$10),"---")</f>
        <v>---</v>
      </c>
    </row>
    <row r="14" spans="1:16" ht="11.25">
      <c r="A14" s="23" t="str">
        <f>IF(2012-D14&lt;18,"Yth",IF(2012-D14&lt;21,"Jun","Sen"))</f>
        <v>Yth</v>
      </c>
      <c r="B14" s="7">
        <f>VLOOKUP(F14,Women__weight_categories,2,TRUE)</f>
        <v>58</v>
      </c>
      <c r="C14" s="26" t="s">
        <v>98</v>
      </c>
      <c r="D14" s="64">
        <v>1997</v>
      </c>
      <c r="E14" s="65" t="s">
        <v>32</v>
      </c>
      <c r="F14" s="66">
        <v>55.5</v>
      </c>
      <c r="G14" s="64">
        <v>38</v>
      </c>
      <c r="H14" s="64">
        <v>56</v>
      </c>
      <c r="I14" s="64">
        <f>SUM(G14:H14)</f>
        <v>94</v>
      </c>
      <c r="J14" s="69">
        <f>I14*IF(F14&gt;125.441,1,10^(1.056683941*LOG(F14/125.441)^2))</f>
        <v>127.54308006338567</v>
      </c>
      <c r="K14" s="68">
        <v>40809</v>
      </c>
      <c r="L14" s="26" t="s">
        <v>95</v>
      </c>
      <c r="M14" s="8">
        <f>I14/VLOOKUP(B14,Standards!$J$3:$Q$11,3)</f>
        <v>0.5911949685534591</v>
      </c>
      <c r="N14" s="27">
        <f>IF(D14&gt;=1992,I14/VLOOKUP(B14,Standards!$J$3:$Q$11,5),"---")</f>
        <v>0.7121212121212122</v>
      </c>
      <c r="O14" s="27">
        <f>IF(D14&gt;=1995,I14/VLOOKUP(B14,Standards!$J$3:$Q$11,7),"---")</f>
        <v>0.9690721649484536</v>
      </c>
      <c r="P14" s="25" t="str">
        <f>IF((D14&gt;=1995)*AND(F14&gt;69),(I14/Standards!$P$10),"---")</f>
        <v>---</v>
      </c>
    </row>
    <row r="15" spans="1:16" ht="11.25">
      <c r="A15" s="23" t="str">
        <f>IF(2012-D15&lt;18,"Yth",IF(2012-D15&lt;21,"Jun","Sen"))</f>
        <v>Jun</v>
      </c>
      <c r="B15" s="7" t="str">
        <f>VLOOKUP(F15,Women__weight_categories,2,TRUE)</f>
        <v>75+</v>
      </c>
      <c r="C15" s="26" t="s">
        <v>103</v>
      </c>
      <c r="D15" s="64">
        <v>1994</v>
      </c>
      <c r="E15" s="65" t="s">
        <v>9</v>
      </c>
      <c r="F15" s="66">
        <v>76.9</v>
      </c>
      <c r="G15" s="64">
        <v>47</v>
      </c>
      <c r="H15" s="64">
        <v>65</v>
      </c>
      <c r="I15" s="64">
        <f>SUM(G15:H15)</f>
        <v>112</v>
      </c>
      <c r="J15" s="69">
        <f>I15*IF(F15&gt;125.441,1,10^(1.056683941*LOG(F15/125.441)^2))</f>
        <v>125.00857959545716</v>
      </c>
      <c r="K15" s="68">
        <v>40811</v>
      </c>
      <c r="L15" s="26" t="s">
        <v>73</v>
      </c>
      <c r="M15" s="8">
        <f>I15/VLOOKUP(B15,Standards!$J$3:$Q$11,3)</f>
        <v>0.56</v>
      </c>
      <c r="N15" s="27">
        <f>IF(D15&gt;=1992,I15/VLOOKUP(B15,Standards!$J$3:$Q$11,5),"---")</f>
        <v>0.6706586826347305</v>
      </c>
      <c r="O15" s="27" t="str">
        <f>IF(D15&gt;=1995,I15/VLOOKUP(B15,Standards!$J$3:$Q$11,7),"---")</f>
        <v>---</v>
      </c>
      <c r="P15" s="25" t="str">
        <f>IF((D15&gt;=1995)*AND(F15&gt;69),(I15/Standards!$P$10),"---")</f>
        <v>---</v>
      </c>
    </row>
    <row r="16" spans="1:16" ht="11.25">
      <c r="A16" s="23" t="str">
        <f>IF(2012-D16&lt;18,"Yth",IF(2012-D16&lt;21,"Jun","Sen"))</f>
        <v>Yth</v>
      </c>
      <c r="B16" s="7">
        <f>VLOOKUP(F16,Women__weight_categories,2,TRUE)</f>
        <v>53</v>
      </c>
      <c r="C16" s="26" t="s">
        <v>49</v>
      </c>
      <c r="D16" s="64">
        <v>1997</v>
      </c>
      <c r="E16" s="65" t="s">
        <v>46</v>
      </c>
      <c r="F16" s="66">
        <v>53</v>
      </c>
      <c r="G16" s="64">
        <v>36</v>
      </c>
      <c r="H16" s="64">
        <v>49</v>
      </c>
      <c r="I16" s="64">
        <f>SUM(G16:H16)</f>
        <v>85</v>
      </c>
      <c r="J16" s="69">
        <f>I16*IF(F16&gt;125.441,1,10^(1.056683941*LOG(F16/125.441)^2))</f>
        <v>119.49590322393125</v>
      </c>
      <c r="K16" s="68">
        <v>40811</v>
      </c>
      <c r="L16" s="26" t="s">
        <v>73</v>
      </c>
      <c r="M16" s="8">
        <f>I16/VLOOKUP(B16,Standards!$J$3:$Q$11,3)</f>
        <v>0.5555555555555556</v>
      </c>
      <c r="N16" s="27">
        <f>IF(D16&gt;=1992,I16/VLOOKUP(B16,Standards!$J$3:$Q$11,5),"---")</f>
        <v>0.6692913385826772</v>
      </c>
      <c r="O16" s="27">
        <f>IF(D16&gt;=1995,I16/VLOOKUP(B16,Standards!$J$3:$Q$11,7),"---")</f>
        <v>0.9139784946236559</v>
      </c>
      <c r="P16" s="25" t="str">
        <f>IF((D16&gt;=1995)*AND(F16&gt;69),(I16/Standards!$P$10),"---")</f>
        <v>---</v>
      </c>
    </row>
    <row r="17" spans="1:16" ht="11.25">
      <c r="A17" s="23" t="str">
        <f>IF(2012-D17&lt;18,"Yth",IF(2012-D17&lt;21,"Jun","Sen"))</f>
        <v>Yth</v>
      </c>
      <c r="B17" s="7">
        <f>VLOOKUP(F17,Women__weight_categories,2,TRUE)</f>
        <v>53</v>
      </c>
      <c r="C17" s="26" t="s">
        <v>49</v>
      </c>
      <c r="D17" s="64">
        <v>1997</v>
      </c>
      <c r="E17" s="65" t="s">
        <v>46</v>
      </c>
      <c r="F17" s="66">
        <v>52.65</v>
      </c>
      <c r="G17" s="64">
        <v>37</v>
      </c>
      <c r="H17" s="64">
        <v>47</v>
      </c>
      <c r="I17" s="64">
        <f>SUM(G17:H17)</f>
        <v>84</v>
      </c>
      <c r="J17" s="69">
        <f>I17*IF(F17&gt;125.441,1,10^(1.056683941*LOG(F17/125.441)^2))</f>
        <v>118.71278432474784</v>
      </c>
      <c r="K17" s="68">
        <v>40809</v>
      </c>
      <c r="L17" s="26" t="s">
        <v>95</v>
      </c>
      <c r="M17" s="8">
        <f>I17/VLOOKUP(B17,Standards!$J$3:$Q$11,3)</f>
        <v>0.5490196078431373</v>
      </c>
      <c r="N17" s="27">
        <f>IF(D17&gt;=1992,I17/VLOOKUP(B17,Standards!$J$3:$Q$11,5),"---")</f>
        <v>0.6614173228346457</v>
      </c>
      <c r="O17" s="27">
        <f>IF(D17&gt;=1995,I17/VLOOKUP(B17,Standards!$J$3:$Q$11,7),"---")</f>
        <v>0.9032258064516129</v>
      </c>
      <c r="P17" s="25" t="str">
        <f>IF((D17&gt;=1995)*AND(F17&gt;69),(I17/Standards!$P$10),"---")</f>
        <v>---</v>
      </c>
    </row>
    <row r="18" spans="1:16" ht="11.25">
      <c r="A18" s="23" t="str">
        <f>IF(2012-D18&lt;18,"Yth",IF(2012-D18&lt;21,"Jun","Sen"))</f>
        <v>Yth</v>
      </c>
      <c r="B18" s="7">
        <f>VLOOKUP(F18,Women__weight_categories,2,TRUE)</f>
        <v>48</v>
      </c>
      <c r="C18" s="26" t="s">
        <v>97</v>
      </c>
      <c r="D18" s="64">
        <v>1997</v>
      </c>
      <c r="E18" s="65" t="s">
        <v>9</v>
      </c>
      <c r="F18" s="66">
        <v>46.4</v>
      </c>
      <c r="G18" s="64">
        <v>30</v>
      </c>
      <c r="H18" s="64">
        <v>36</v>
      </c>
      <c r="I18" s="64">
        <f>SUM(G18:H18)</f>
        <v>66</v>
      </c>
      <c r="J18" s="69">
        <f>I18*IF(F18&gt;125.441,1,10^(1.056683941*LOG(F18/125.441)^2))</f>
        <v>103.91419603878613</v>
      </c>
      <c r="K18" s="68">
        <v>40809</v>
      </c>
      <c r="L18" s="26" t="s">
        <v>95</v>
      </c>
      <c r="M18" s="8">
        <f>I18/VLOOKUP(B18,Standards!$J$3:$Q$11,3)</f>
        <v>0.48175182481751827</v>
      </c>
      <c r="N18" s="27">
        <f>IF(D18&gt;=1992,I18/VLOOKUP(B18,Standards!$J$3:$Q$11,5),"---")</f>
        <v>0.5789473684210527</v>
      </c>
      <c r="O18" s="27">
        <f>IF(D18&gt;=1995,I18/VLOOKUP(B18,Standards!$J$3:$Q$11,7),"---")</f>
        <v>0.7857142857142857</v>
      </c>
      <c r="P18" s="25" t="str">
        <f>IF((D18&gt;=1995)*AND(F18&gt;69),(I18/Standards!$P$10),"---")</f>
        <v>---</v>
      </c>
    </row>
    <row r="19" spans="1:16" ht="11.25">
      <c r="A19" s="23" t="str">
        <f>IF(2012-D19&lt;18,"Yth",IF(2012-D19&lt;21,"Jun","Sen"))</f>
        <v>Yth</v>
      </c>
      <c r="B19" s="7">
        <f>VLOOKUP(F19,Women__weight_categories,2,TRUE)</f>
        <v>44</v>
      </c>
      <c r="C19" s="26" t="s">
        <v>94</v>
      </c>
      <c r="D19" s="64">
        <v>1997</v>
      </c>
      <c r="E19" s="65" t="s">
        <v>9</v>
      </c>
      <c r="F19" s="66">
        <v>39.9</v>
      </c>
      <c r="G19" s="64">
        <v>25</v>
      </c>
      <c r="H19" s="64">
        <v>38</v>
      </c>
      <c r="I19" s="64">
        <f>SUM(G19:H19)</f>
        <v>63</v>
      </c>
      <c r="J19" s="69">
        <f>I19*IF(F19&gt;125.441,1,10^(1.056683941*LOG(F19/125.441)^2))</f>
        <v>115.03800087152827</v>
      </c>
      <c r="K19" s="68">
        <v>40809</v>
      </c>
      <c r="L19" s="26" t="s">
        <v>95</v>
      </c>
      <c r="M19" s="8">
        <f>I19/VLOOKUP(B19,Standards!$J$3:$Q$11,3)</f>
        <v>0.45985401459854014</v>
      </c>
      <c r="N19" s="27">
        <f>IF(D19&gt;=1992,I19/VLOOKUP(B19,Standards!$J$3:$Q$11,5),"---")</f>
        <v>0.5526315789473685</v>
      </c>
      <c r="O19" s="27">
        <f>IF(D19&gt;=1995,I19/VLOOKUP(B19,Standards!$J$3:$Q$11,7),"---")</f>
        <v>0.8289473684210527</v>
      </c>
      <c r="P19" s="25" t="str">
        <f>IF((D19&gt;=1995)*AND(F19&gt;69),(I19/Standards!$P$10),"---")</f>
        <v>---</v>
      </c>
    </row>
    <row r="20" spans="1:16" ht="11.25">
      <c r="A20" s="23" t="str">
        <f>IF(2012-D20&lt;18,"Yth",IF(2012-D20&lt;21,"Jun","Sen"))</f>
        <v>Yth</v>
      </c>
      <c r="B20" s="7">
        <f>VLOOKUP(F20,Women__weight_categories,2,TRUE)</f>
        <v>44</v>
      </c>
      <c r="C20" s="26" t="s">
        <v>96</v>
      </c>
      <c r="D20" s="64">
        <v>1999</v>
      </c>
      <c r="E20" s="65" t="s">
        <v>34</v>
      </c>
      <c r="F20" s="66">
        <v>44</v>
      </c>
      <c r="G20" s="64">
        <v>28</v>
      </c>
      <c r="H20" s="64">
        <v>34</v>
      </c>
      <c r="I20" s="64">
        <f>SUM(G20:H20)</f>
        <v>62</v>
      </c>
      <c r="J20" s="69">
        <f>I20*IF(F20&gt;125.441,1,10^(1.056683941*LOG(F20/125.441)^2))</f>
        <v>102.59802943173818</v>
      </c>
      <c r="K20" s="68">
        <v>40809</v>
      </c>
      <c r="L20" s="26" t="s">
        <v>95</v>
      </c>
      <c r="M20" s="8">
        <f>I20/VLOOKUP(B20,Standards!$J$3:$Q$11,3)</f>
        <v>0.45255474452554745</v>
      </c>
      <c r="N20" s="27">
        <f>IF(D20&gt;=1992,I20/VLOOKUP(B20,Standards!$J$3:$Q$11,5),"---")</f>
        <v>0.543859649122807</v>
      </c>
      <c r="O20" s="27">
        <f>IF(D20&gt;=1995,I20/VLOOKUP(B20,Standards!$J$3:$Q$11,7),"---")</f>
        <v>0.8157894736842105</v>
      </c>
      <c r="P20" s="25" t="str">
        <f>IF((D20&gt;=1995)*AND(F20&gt;69),(I20/Standards!$P$10),"---")</f>
        <v>---</v>
      </c>
    </row>
    <row r="21" spans="1:16" ht="11.25">
      <c r="A21" s="23" t="str">
        <f>IF(2012-D21&lt;18,"Yth",IF(2012-D21&lt;21,"Jun","Sen"))</f>
        <v>Yth</v>
      </c>
      <c r="B21" s="7">
        <f>VLOOKUP(F21,Women__weight_categories,2,TRUE)</f>
        <v>63</v>
      </c>
      <c r="C21" s="26" t="s">
        <v>99</v>
      </c>
      <c r="D21" s="64">
        <v>1998</v>
      </c>
      <c r="E21" s="65" t="s">
        <v>32</v>
      </c>
      <c r="F21" s="66">
        <v>59.35</v>
      </c>
      <c r="G21" s="64">
        <v>34</v>
      </c>
      <c r="H21" s="64">
        <v>45</v>
      </c>
      <c r="I21" s="64">
        <f>SUM(G21:H21)</f>
        <v>79</v>
      </c>
      <c r="J21" s="69">
        <f>I21*IF(F21&gt;125.441,1,10^(1.056683941*LOG(F21/125.441)^2))</f>
        <v>102.15326094162822</v>
      </c>
      <c r="K21" s="68">
        <v>40809</v>
      </c>
      <c r="L21" s="26" t="s">
        <v>95</v>
      </c>
      <c r="M21" s="8">
        <f>I21/VLOOKUP(B21,Standards!$J$3:$Q$11,3)</f>
        <v>0.4514285714285714</v>
      </c>
      <c r="N21" s="27">
        <f>IF(D21&gt;=1992,I21/VLOOKUP(B21,Standards!$J$3:$Q$11,5),"---")</f>
        <v>0.541095890410959</v>
      </c>
      <c r="O21" s="27">
        <f>IF(D21&gt;=1995,I21/VLOOKUP(B21,Standards!$J$3:$Q$11,7),"---")</f>
        <v>0.7383177570093458</v>
      </c>
      <c r="P21" s="25" t="str">
        <f>IF((D21&gt;=1995)*AND(F21&gt;69),(I21/Standards!$P$10),"---")</f>
        <v>---</v>
      </c>
    </row>
    <row r="22" spans="1:16" ht="11.25">
      <c r="A22" s="23" t="str">
        <f>IF(2012-D22&lt;18,"Yth",IF(2012-D22&lt;21,"Jun","Sen"))</f>
        <v>Yth</v>
      </c>
      <c r="B22" s="7">
        <f>VLOOKUP(F22,Women__weight_categories,2,TRUE)</f>
        <v>75</v>
      </c>
      <c r="C22" s="26" t="s">
        <v>101</v>
      </c>
      <c r="D22" s="64">
        <v>1997</v>
      </c>
      <c r="E22" s="65" t="s">
        <v>34</v>
      </c>
      <c r="F22" s="66">
        <v>74.95</v>
      </c>
      <c r="G22" s="64">
        <v>29</v>
      </c>
      <c r="H22" s="64">
        <v>48</v>
      </c>
      <c r="I22" s="64">
        <f>SUM(G22:H22)</f>
        <v>77</v>
      </c>
      <c r="J22" s="69">
        <f>I22*IF(F22&gt;125.441,1,10^(1.056683941*LOG(F22/125.441)^2))</f>
        <v>86.96685939409483</v>
      </c>
      <c r="K22" s="68">
        <v>40809</v>
      </c>
      <c r="L22" s="26" t="s">
        <v>95</v>
      </c>
      <c r="M22" s="8">
        <f>I22/VLOOKUP(B22,Standards!$J$3:$Q$11,3)</f>
        <v>0.425414364640884</v>
      </c>
      <c r="N22" s="27">
        <f>IF(D22&gt;=1992,I22/VLOOKUP(B22,Standards!$J$3:$Q$11,5),"---")</f>
        <v>0.5099337748344371</v>
      </c>
      <c r="O22" s="27">
        <f>IF(D22&gt;=1995,I22/VLOOKUP(B22,Standards!$J$3:$Q$11,7),"---")</f>
        <v>0.6936936936936937</v>
      </c>
      <c r="P22" s="25">
        <f>IF((D22&gt;=1995)*AND(F22&gt;69),(I22/Standards!$P$10),"---")</f>
        <v>0.6637931034482759</v>
      </c>
    </row>
    <row r="23" spans="1:16" ht="11.25">
      <c r="A23" s="23" t="str">
        <f>IF(2012-D23&lt;18,"Yth",IF(2012-D23&lt;21,"Jun","Sen"))</f>
        <v>Yth</v>
      </c>
      <c r="B23" s="7">
        <f>VLOOKUP(F23,Women__weight_categories,2,TRUE)</f>
        <v>63</v>
      </c>
      <c r="C23" s="26" t="s">
        <v>41</v>
      </c>
      <c r="D23" s="64">
        <v>1996</v>
      </c>
      <c r="E23" s="65" t="s">
        <v>9</v>
      </c>
      <c r="F23" s="66">
        <v>58.9</v>
      </c>
      <c r="G23" s="64">
        <v>31</v>
      </c>
      <c r="H23" s="64">
        <v>36</v>
      </c>
      <c r="I23" s="64">
        <f>SUM(G23:H23)</f>
        <v>67</v>
      </c>
      <c r="J23" s="69">
        <f>I23*IF(F23&gt;125.441,1,10^(1.056683941*LOG(F23/125.441)^2))</f>
        <v>87.09273682698142</v>
      </c>
      <c r="K23" s="68">
        <v>40809</v>
      </c>
      <c r="L23" s="26" t="s">
        <v>95</v>
      </c>
      <c r="M23" s="8">
        <f>I23/VLOOKUP(B23,Standards!$J$3:$Q$11,3)</f>
        <v>0.38285714285714284</v>
      </c>
      <c r="N23" s="27">
        <f>IF(D23&gt;=1992,I23/VLOOKUP(B23,Standards!$J$3:$Q$11,5),"---")</f>
        <v>0.4589041095890411</v>
      </c>
      <c r="O23" s="27">
        <f>IF(D23&gt;=1995,I23/VLOOKUP(B23,Standards!$J$3:$Q$11,7),"---")</f>
        <v>0.6261682242990654</v>
      </c>
      <c r="P23" s="25" t="str">
        <f>IF((D23&gt;=1995)*AND(F23&gt;69),(I23/Standards!$P$10),"---")</f>
        <v>---</v>
      </c>
    </row>
    <row r="24" spans="1:16" ht="11.25">
      <c r="A24" s="23" t="str">
        <f>IF(2012-D24&lt;18,"Yth",IF(2012-D24&lt;21,"Jun","Sen"))</f>
        <v>Yth</v>
      </c>
      <c r="B24" s="7" t="str">
        <f>VLOOKUP(F24,Women__weight_categories,2,TRUE)</f>
        <v>75+</v>
      </c>
      <c r="C24" s="26" t="s">
        <v>102</v>
      </c>
      <c r="D24" s="64">
        <v>1998</v>
      </c>
      <c r="E24" s="65" t="s">
        <v>30</v>
      </c>
      <c r="F24" s="66">
        <v>94.5</v>
      </c>
      <c r="G24" s="64">
        <v>28</v>
      </c>
      <c r="H24" s="64">
        <v>34</v>
      </c>
      <c r="I24" s="64">
        <f>SUM(G24:H24)</f>
        <v>62</v>
      </c>
      <c r="J24" s="69">
        <f>I24*IF(F24&gt;125.441,1,10^(1.056683941*LOG(F24/125.441)^2))</f>
        <v>64.32506921792165</v>
      </c>
      <c r="K24" s="68">
        <v>40809</v>
      </c>
      <c r="L24" s="26" t="s">
        <v>95</v>
      </c>
      <c r="M24" s="8">
        <f>I24/VLOOKUP(B24,Standards!$J$3:$Q$11,3)</f>
        <v>0.31</v>
      </c>
      <c r="N24" s="27">
        <f>IF(D24&gt;=1992,I24/VLOOKUP(B24,Standards!$J$3:$Q$11,5),"---")</f>
        <v>0.3712574850299401</v>
      </c>
      <c r="O24" s="27">
        <f>IF(D24&gt;=1995,I24/VLOOKUP(B24,Standards!$J$3:$Q$11,7),"---")</f>
        <v>0.5081967213114754</v>
      </c>
      <c r="P24" s="25">
        <f>IF((D24&gt;=1995)*AND(F24&gt;69),(I24/Standards!$P$10),"---")</f>
        <v>0.5344827586206896</v>
      </c>
    </row>
    <row r="25" spans="1:16" ht="11.25">
      <c r="A25" s="23" t="str">
        <f>IF(2012-D25&lt;18,"Yth",IF(2012-D25&lt;21,"Jun","Sen"))</f>
        <v>Sen</v>
      </c>
      <c r="B25" s="7">
        <f>VLOOKUP(F25,Women__weight_categories,2,TRUE)</f>
        <v>44</v>
      </c>
      <c r="C25" s="60"/>
      <c r="D25" s="61"/>
      <c r="E25" s="61"/>
      <c r="F25" s="61"/>
      <c r="G25" s="61"/>
      <c r="H25" s="61"/>
      <c r="I25" s="42"/>
      <c r="J25" s="43"/>
      <c r="K25" s="32"/>
      <c r="L25" s="33"/>
      <c r="M25" s="8">
        <f>I25/VLOOKUP(B25,Standards!$J$3:$Q$11,3)</f>
        <v>0</v>
      </c>
      <c r="N25" s="27" t="str">
        <f>IF(D25&gt;=1992,I25/VLOOKUP(B25,Standards!$J$3:$Q$11,5),"---")</f>
        <v>---</v>
      </c>
      <c r="O25" s="27" t="str">
        <f>IF(D25&gt;=1995,I25/VLOOKUP(B25,Standards!$J$3:$Q$11,7),"---")</f>
        <v>---</v>
      </c>
      <c r="P25" s="25" t="str">
        <f>IF((D25&gt;=1995)*AND(F25&gt;69),(I25/Standards!$P$10),"---")</f>
        <v>---</v>
      </c>
    </row>
    <row r="26" spans="1:16" ht="11.25">
      <c r="A26" s="23" t="str">
        <f>IF(2012-D26&lt;18,"Yth",IF(2012-D26&lt;21,"Jun","Sen"))</f>
        <v>Sen</v>
      </c>
      <c r="B26" s="7">
        <f>VLOOKUP(F26,Women__weight_categories,2,TRUE)</f>
        <v>44</v>
      </c>
      <c r="C26" s="60"/>
      <c r="D26" s="61"/>
      <c r="E26" s="61"/>
      <c r="F26" s="61"/>
      <c r="G26" s="61"/>
      <c r="H26" s="61"/>
      <c r="I26" s="42"/>
      <c r="J26" s="43"/>
      <c r="K26" s="32"/>
      <c r="L26" s="33"/>
      <c r="M26" s="8">
        <f>I26/VLOOKUP(B26,Standards!$J$3:$Q$11,3)</f>
        <v>0</v>
      </c>
      <c r="N26" s="27" t="str">
        <f>IF(D26&gt;=1992,I26/VLOOKUP(B26,Standards!$J$3:$Q$11,5),"---")</f>
        <v>---</v>
      </c>
      <c r="O26" s="27" t="str">
        <f>IF(D26&gt;=1995,I26/VLOOKUP(B26,Standards!$J$3:$Q$11,7),"---")</f>
        <v>---</v>
      </c>
      <c r="P26" s="25" t="str">
        <f>IF((D26&gt;=1995)*AND(F26&gt;69),(I26/Standards!$P$10),"---")</f>
        <v>---</v>
      </c>
    </row>
    <row r="27" spans="1:16" ht="11.25">
      <c r="A27" s="23" t="str">
        <f>IF(2012-D27&lt;18,"Yth",IF(2012-D27&lt;21,"Jun","Sen"))</f>
        <v>Sen</v>
      </c>
      <c r="B27" s="7">
        <f>VLOOKUP(F27,Women__weight_categories,2,TRUE)</f>
        <v>44</v>
      </c>
      <c r="C27" s="33"/>
      <c r="D27" s="42"/>
      <c r="E27" s="30"/>
      <c r="F27" s="38"/>
      <c r="G27" s="42"/>
      <c r="H27" s="42"/>
      <c r="I27" s="42"/>
      <c r="J27" s="43"/>
      <c r="K27" s="44"/>
      <c r="L27" s="33"/>
      <c r="M27" s="8">
        <f>I27/VLOOKUP(B27,Standards!$J$3:$Q$11,3)</f>
        <v>0</v>
      </c>
      <c r="N27" s="27" t="str">
        <f>IF(D27&gt;=1992,I27/VLOOKUP(B27,Standards!$J$3:$Q$11,5),"---")</f>
        <v>---</v>
      </c>
      <c r="O27" s="27" t="str">
        <f>IF(D27&gt;=1995,I27/VLOOKUP(B27,Standards!$J$3:$Q$11,7),"---")</f>
        <v>---</v>
      </c>
      <c r="P27" s="25" t="str">
        <f>IF((D27&gt;=1995)*AND(F27&gt;69),(I27/Standards!$P$10),"---")</f>
        <v>---</v>
      </c>
    </row>
    <row r="28" spans="1:16" ht="11.25">
      <c r="A28" s="23" t="str">
        <f>IF(2012-D28&lt;18,"Yth",IF(2012-D28&lt;21,"Jun","Sen"))</f>
        <v>Sen</v>
      </c>
      <c r="B28" s="7">
        <f>VLOOKUP(F28,Women__weight_categories,2,TRUE)</f>
        <v>44</v>
      </c>
      <c r="C28" s="60"/>
      <c r="D28" s="61"/>
      <c r="E28" s="61"/>
      <c r="F28" s="61"/>
      <c r="G28" s="61"/>
      <c r="H28" s="61"/>
      <c r="I28" s="42"/>
      <c r="J28" s="43"/>
      <c r="K28" s="32"/>
      <c r="L28" s="33"/>
      <c r="M28" s="8">
        <f>I28/VLOOKUP(B28,Standards!$J$3:$Q$11,3)</f>
        <v>0</v>
      </c>
      <c r="N28" s="27" t="str">
        <f>IF(D28&gt;=1992,I28/VLOOKUP(B28,Standards!$J$3:$Q$11,5),"---")</f>
        <v>---</v>
      </c>
      <c r="O28" s="27" t="str">
        <f>IF(D28&gt;=1995,I28/VLOOKUP(B28,Standards!$J$3:$Q$11,7),"---")</f>
        <v>---</v>
      </c>
      <c r="P28" s="25" t="str">
        <f>IF((D28&gt;=1995)*AND(F28&gt;69),(I28/Standards!$P$10),"---")</f>
        <v>---</v>
      </c>
    </row>
    <row r="29" spans="1:16" ht="11.25">
      <c r="A29" s="23" t="str">
        <f>IF(2012-D29&lt;18,"Yth",IF(2012-D29&lt;21,"Jun","Sen"))</f>
        <v>Sen</v>
      </c>
      <c r="B29" s="7">
        <f>VLOOKUP(F29,Women__weight_categories,2,TRUE)</f>
        <v>44</v>
      </c>
      <c r="C29" s="29"/>
      <c r="D29" s="30"/>
      <c r="E29" s="30"/>
      <c r="F29" s="38"/>
      <c r="G29" s="31"/>
      <c r="H29" s="31"/>
      <c r="I29" s="42"/>
      <c r="J29" s="43"/>
      <c r="K29" s="32"/>
      <c r="L29" s="33"/>
      <c r="M29" s="8">
        <f>I29/VLOOKUP(B29,Standards!$J$3:$Q$11,3)</f>
        <v>0</v>
      </c>
      <c r="N29" s="27" t="str">
        <f>IF(D29&gt;=1992,I29/VLOOKUP(B29,Standards!$J$3:$Q$11,5),"---")</f>
        <v>---</v>
      </c>
      <c r="O29" s="27" t="str">
        <f>IF(D29&gt;=1995,I29/VLOOKUP(B29,Standards!$J$3:$Q$11,7),"---")</f>
        <v>---</v>
      </c>
      <c r="P29" s="25" t="str">
        <f>IF((D29&gt;=1995)*AND(F29&gt;69),(I29/Standards!$P$10),"---")</f>
        <v>---</v>
      </c>
    </row>
    <row r="30" spans="1:16" ht="11.25">
      <c r="A30" s="23" t="str">
        <f>IF(2012-D30&lt;18,"Yth",IF(2012-D30&lt;21,"Jun","Sen"))</f>
        <v>Sen</v>
      </c>
      <c r="B30" s="7">
        <f>VLOOKUP(F30,Women__weight_categories,2,TRUE)</f>
        <v>44</v>
      </c>
      <c r="C30" s="60"/>
      <c r="D30" s="61"/>
      <c r="E30" s="61"/>
      <c r="F30" s="61"/>
      <c r="G30" s="61"/>
      <c r="H30" s="61"/>
      <c r="I30" s="42"/>
      <c r="J30" s="43"/>
      <c r="K30" s="32"/>
      <c r="L30" s="33"/>
      <c r="M30" s="8">
        <f>I30/VLOOKUP(B30,Standards!$J$3:$Q$11,3)</f>
        <v>0</v>
      </c>
      <c r="N30" s="27" t="str">
        <f>IF(D30&gt;=1992,I30/VLOOKUP(B30,Standards!$J$3:$Q$11,5),"---")</f>
        <v>---</v>
      </c>
      <c r="O30" s="27" t="str">
        <f>IF(D30&gt;=1995,I30/VLOOKUP(B30,Standards!$J$3:$Q$11,7),"---")</f>
        <v>---</v>
      </c>
      <c r="P30" s="25" t="str">
        <f>IF((D30&gt;=1995)*AND(F30&gt;69),(I30/Standards!$P$10),"---")</f>
        <v>---</v>
      </c>
    </row>
    <row r="31" spans="1:16" ht="11.25">
      <c r="A31" s="23" t="str">
        <f>IF(2012-D31&lt;18,"Yth",IF(2012-D31&lt;21,"Jun","Sen"))</f>
        <v>Sen</v>
      </c>
      <c r="B31" s="7">
        <f>VLOOKUP(F31,Women__weight_categories,2,TRUE)</f>
        <v>44</v>
      </c>
      <c r="C31" s="60"/>
      <c r="D31" s="61"/>
      <c r="E31" s="61"/>
      <c r="F31" s="61"/>
      <c r="G31" s="61"/>
      <c r="H31" s="61"/>
      <c r="I31" s="42"/>
      <c r="J31" s="43"/>
      <c r="K31" s="32"/>
      <c r="L31" s="33"/>
      <c r="M31" s="8">
        <f>I31/VLOOKUP(B31,Standards!$J$3:$Q$11,3)</f>
        <v>0</v>
      </c>
      <c r="N31" s="27" t="str">
        <f>IF(D31&gt;=1992,I31/VLOOKUP(B31,Standards!$J$3:$Q$11,5),"---")</f>
        <v>---</v>
      </c>
      <c r="O31" s="27" t="str">
        <f>IF(D31&gt;=1995,I31/VLOOKUP(B31,Standards!$J$3:$Q$11,7),"---")</f>
        <v>---</v>
      </c>
      <c r="P31" s="25" t="str">
        <f>IF((D31&gt;=1995)*AND(F31&gt;69),(I31/Standards!$P$10),"---")</f>
        <v>---</v>
      </c>
    </row>
    <row r="32" spans="1:16" ht="11.25">
      <c r="A32" s="23" t="str">
        <f>IF(2012-D32&lt;18,"Yth",IF(2012-D32&lt;21,"Jun","Sen"))</f>
        <v>Sen</v>
      </c>
      <c r="B32" s="7">
        <f>VLOOKUP(F32,Women__weight_categories,2,TRUE)</f>
        <v>44</v>
      </c>
      <c r="C32" s="60"/>
      <c r="D32" s="61"/>
      <c r="E32" s="61"/>
      <c r="F32" s="61"/>
      <c r="G32" s="61"/>
      <c r="H32" s="61"/>
      <c r="I32" s="42"/>
      <c r="J32" s="43"/>
      <c r="K32" s="32"/>
      <c r="L32" s="33"/>
      <c r="M32" s="8">
        <f>I32/VLOOKUP(B32,Standards!$J$3:$Q$11,3)</f>
        <v>0</v>
      </c>
      <c r="N32" s="27" t="str">
        <f>IF(D32&gt;=1992,I32/VLOOKUP(B32,Standards!$J$3:$Q$11,5),"---")</f>
        <v>---</v>
      </c>
      <c r="O32" s="27" t="str">
        <f>IF(D32&gt;=1995,I32/VLOOKUP(B32,Standards!$J$3:$Q$11,7),"---")</f>
        <v>---</v>
      </c>
      <c r="P32" s="25" t="str">
        <f>IF((D32&gt;=1995)*AND(F32&gt;69),(I32/Standards!$P$10),"---")</f>
        <v>---</v>
      </c>
    </row>
    <row r="33" spans="1:16" ht="11.25">
      <c r="A33" s="23" t="str">
        <f>IF(2012-D33&lt;18,"Yth",IF(2012-D33&lt;21,"Jun","Sen"))</f>
        <v>Sen</v>
      </c>
      <c r="B33" s="7">
        <f>VLOOKUP(F33,Women__weight_categories,2,TRUE)</f>
        <v>44</v>
      </c>
      <c r="C33" s="60"/>
      <c r="D33" s="61"/>
      <c r="E33" s="61"/>
      <c r="F33" s="61"/>
      <c r="G33" s="61"/>
      <c r="H33" s="61"/>
      <c r="I33" s="42"/>
      <c r="J33" s="43"/>
      <c r="K33" s="32"/>
      <c r="L33" s="33"/>
      <c r="M33" s="8">
        <f>I33/VLOOKUP(B33,Standards!$J$3:$Q$11,3)</f>
        <v>0</v>
      </c>
      <c r="N33" s="27" t="str">
        <f>IF(D33&gt;=1992,I33/VLOOKUP(B33,Standards!$J$3:$Q$11,5),"---")</f>
        <v>---</v>
      </c>
      <c r="O33" s="27" t="str">
        <f>IF(D33&gt;=1995,I33/VLOOKUP(B33,Standards!$J$3:$Q$11,7),"---")</f>
        <v>---</v>
      </c>
      <c r="P33" s="25" t="str">
        <f>IF((D33&gt;=1995)*AND(F33&gt;69),(I33/Standards!$P$10),"---")</f>
        <v>---</v>
      </c>
    </row>
    <row r="34" spans="1:16" ht="11.25">
      <c r="A34" s="23" t="str">
        <f>IF(2012-D34&lt;18,"Yth",IF(2012-D34&lt;21,"Jun","Sen"))</f>
        <v>Sen</v>
      </c>
      <c r="B34" s="7">
        <f>VLOOKUP(F34,Women__weight_categories,2,TRUE)</f>
        <v>44</v>
      </c>
      <c r="C34" s="60"/>
      <c r="D34" s="61"/>
      <c r="E34" s="61"/>
      <c r="F34" s="61"/>
      <c r="G34" s="61"/>
      <c r="H34" s="61"/>
      <c r="I34" s="42"/>
      <c r="J34" s="43"/>
      <c r="K34" s="32"/>
      <c r="L34" s="33"/>
      <c r="M34" s="8">
        <f>I34/VLOOKUP(B34,Standards!$J$3:$Q$11,3)</f>
        <v>0</v>
      </c>
      <c r="N34" s="27" t="str">
        <f>IF(D34&gt;=1992,I34/VLOOKUP(B34,Standards!$J$3:$Q$11,5),"---")</f>
        <v>---</v>
      </c>
      <c r="O34" s="27" t="str">
        <f>IF(D34&gt;=1995,I34/VLOOKUP(B34,Standards!$J$3:$Q$11,7),"---")</f>
        <v>---</v>
      </c>
      <c r="P34" s="25" t="str">
        <f>IF((D34&gt;=1995)*AND(F34&gt;69),(I34/Standards!$P$10),"---")</f>
        <v>---</v>
      </c>
    </row>
    <row r="35" spans="1:16" ht="11.25">
      <c r="A35" s="23" t="str">
        <f>IF(2012-D35&lt;18,"Yth",IF(2012-D35&lt;21,"Jun","Sen"))</f>
        <v>Sen</v>
      </c>
      <c r="B35" s="7">
        <f>VLOOKUP(F35,Women__weight_categories,2,TRUE)</f>
        <v>44</v>
      </c>
      <c r="C35" s="60"/>
      <c r="D35" s="61"/>
      <c r="E35" s="61"/>
      <c r="F35" s="61"/>
      <c r="G35" s="61"/>
      <c r="H35" s="61"/>
      <c r="I35" s="42"/>
      <c r="J35" s="43"/>
      <c r="K35" s="32"/>
      <c r="L35" s="33"/>
      <c r="M35" s="8">
        <f>I35/VLOOKUP(B35,Standards!$J$3:$Q$11,3)</f>
        <v>0</v>
      </c>
      <c r="N35" s="27" t="str">
        <f>IF(D35&gt;=1992,I35/VLOOKUP(B35,Standards!$J$3:$Q$11,5),"---")</f>
        <v>---</v>
      </c>
      <c r="O35" s="27" t="str">
        <f>IF(D35&gt;=1995,I35/VLOOKUP(B35,Standards!$J$3:$Q$11,7),"---")</f>
        <v>---</v>
      </c>
      <c r="P35" s="25" t="str">
        <f>IF((D35&gt;=1995)*AND(F35&gt;69),(I35/Standards!$P$10),"---")</f>
        <v>---</v>
      </c>
    </row>
    <row r="36" spans="1:16" ht="11.25">
      <c r="A36" s="23" t="str">
        <f>IF(2012-D36&lt;18,"Yth",IF(2012-D36&lt;21,"Jun","Sen"))</f>
        <v>Sen</v>
      </c>
      <c r="B36" s="7">
        <f>VLOOKUP(F36,Women__weight_categories,2,TRUE)</f>
        <v>44</v>
      </c>
      <c r="C36" s="33"/>
      <c r="D36" s="33"/>
      <c r="E36" s="33"/>
      <c r="F36" s="38"/>
      <c r="G36" s="30"/>
      <c r="H36" s="30"/>
      <c r="I36" s="42"/>
      <c r="J36" s="43"/>
      <c r="K36" s="32"/>
      <c r="L36" s="33"/>
      <c r="M36" s="8">
        <f>I36/VLOOKUP(B36,Standards!$J$3:$Q$11,3)</f>
        <v>0</v>
      </c>
      <c r="N36" s="27" t="str">
        <f>IF(D36&gt;=1992,I36/VLOOKUP(B36,Standards!$J$3:$Q$11,5),"---")</f>
        <v>---</v>
      </c>
      <c r="O36" s="27" t="str">
        <f>IF(D36&gt;=1995,I36/VLOOKUP(B36,Standards!$J$3:$Q$11,7),"---")</f>
        <v>---</v>
      </c>
      <c r="P36" s="25" t="str">
        <f>IF((D36&gt;=1995)*AND(F36&gt;69),(I36/Standards!$P$10),"---")</f>
        <v>---</v>
      </c>
    </row>
    <row r="37" spans="1:16" ht="11.25">
      <c r="A37" s="23" t="str">
        <f>IF(2012-D37&lt;18,"Yth",IF(2012-D37&lt;21,"Jun","Sen"))</f>
        <v>Sen</v>
      </c>
      <c r="B37" s="7">
        <f>VLOOKUP(F37,Women__weight_categories,2,TRUE)</f>
        <v>44</v>
      </c>
      <c r="C37" s="33"/>
      <c r="D37" s="33"/>
      <c r="E37" s="33"/>
      <c r="F37" s="38"/>
      <c r="G37" s="30"/>
      <c r="H37" s="30"/>
      <c r="I37" s="42"/>
      <c r="J37" s="43"/>
      <c r="K37" s="32"/>
      <c r="L37" s="33"/>
      <c r="M37" s="8">
        <f>I37/VLOOKUP(B37,Standards!$J$3:$Q$11,3)</f>
        <v>0</v>
      </c>
      <c r="N37" s="27" t="str">
        <f>IF(D37&gt;=1992,I37/VLOOKUP(B37,Standards!$J$3:$Q$11,5),"---")</f>
        <v>---</v>
      </c>
      <c r="O37" s="27" t="str">
        <f>IF(D37&gt;=1995,I37/VLOOKUP(B37,Standards!$J$3:$Q$11,7),"---")</f>
        <v>---</v>
      </c>
      <c r="P37" s="25" t="str">
        <f>IF((D37&gt;=1995)*AND(F37&gt;69),(I37/Standards!$P$10),"---")</f>
        <v>---</v>
      </c>
    </row>
    <row r="38" spans="1:16" ht="11.25">
      <c r="A38" s="23" t="str">
        <f>IF(2012-D38&lt;18,"Yth",IF(2012-D38&lt;21,"Jun","Sen"))</f>
        <v>Sen</v>
      </c>
      <c r="B38" s="7">
        <f>VLOOKUP(F38,Women__weight_categories,2,TRUE)</f>
        <v>44</v>
      </c>
      <c r="C38" s="33"/>
      <c r="D38" s="33"/>
      <c r="E38" s="33"/>
      <c r="F38" s="38"/>
      <c r="G38" s="30"/>
      <c r="H38" s="30"/>
      <c r="I38" s="42"/>
      <c r="J38" s="43"/>
      <c r="K38" s="32"/>
      <c r="L38" s="33"/>
      <c r="M38" s="8">
        <f>I38/VLOOKUP(B38,Standards!$J$3:$Q$11,3)</f>
        <v>0</v>
      </c>
      <c r="N38" s="27" t="str">
        <f>IF(D38&gt;=1992,I38/VLOOKUP(B38,Standards!$J$3:$Q$11,5),"---")</f>
        <v>---</v>
      </c>
      <c r="O38" s="27" t="str">
        <f>IF(D38&gt;=1995,I38/VLOOKUP(B38,Standards!$J$3:$Q$11,7),"---")</f>
        <v>---</v>
      </c>
      <c r="P38" s="25" t="str">
        <f>IF((D38&gt;=1995)*AND(F38&gt;69),(I38/Standards!$P$10),"---")</f>
        <v>---</v>
      </c>
    </row>
    <row r="39" spans="1:16" ht="11.25">
      <c r="A39" s="23" t="str">
        <f>IF(2012-D39&lt;18,"Yth",IF(2012-D39&lt;21,"Jun","Sen"))</f>
        <v>Sen</v>
      </c>
      <c r="B39" s="7">
        <f>VLOOKUP(F39,Women__weight_categories,2,TRUE)</f>
        <v>44</v>
      </c>
      <c r="C39" s="29"/>
      <c r="D39" s="30"/>
      <c r="E39" s="30"/>
      <c r="F39" s="38"/>
      <c r="G39" s="31"/>
      <c r="H39" s="31"/>
      <c r="I39" s="42"/>
      <c r="J39" s="43"/>
      <c r="K39" s="32"/>
      <c r="L39" s="33"/>
      <c r="M39" s="8">
        <f>I39/VLOOKUP(B39,Standards!$J$3:$Q$11,3)</f>
        <v>0</v>
      </c>
      <c r="N39" s="27" t="str">
        <f>IF(D39&gt;=1992,I39/VLOOKUP(B39,Standards!$J$3:$Q$11,5),"---")</f>
        <v>---</v>
      </c>
      <c r="O39" s="27" t="str">
        <f>IF(D39&gt;=1995,I39/VLOOKUP(B39,Standards!$J$3:$Q$11,7),"---")</f>
        <v>---</v>
      </c>
      <c r="P39" s="25" t="str">
        <f>IF((D39&gt;=1995)*AND(F39&gt;69),(I39/Standards!$P$10),"---")</f>
        <v>---</v>
      </c>
    </row>
    <row r="40" spans="1:16" ht="11.25">
      <c r="A40" s="23" t="str">
        <f>IF(2012-D40&lt;18,"Yth",IF(2012-D40&lt;21,"Jun","Sen"))</f>
        <v>Sen</v>
      </c>
      <c r="B40" s="7">
        <f>VLOOKUP(F40,Women__weight_categories,2,TRUE)</f>
        <v>44</v>
      </c>
      <c r="C40" s="34"/>
      <c r="D40" s="35"/>
      <c r="E40" s="36"/>
      <c r="F40" s="39"/>
      <c r="G40" s="37"/>
      <c r="H40" s="37"/>
      <c r="I40" s="42"/>
      <c r="J40" s="43"/>
      <c r="K40" s="32"/>
      <c r="L40" s="33"/>
      <c r="M40" s="8">
        <f>I40/VLOOKUP(B40,Standards!$J$3:$Q$11,3)</f>
        <v>0</v>
      </c>
      <c r="N40" s="27" t="str">
        <f>IF(D40&gt;=1992,I40/VLOOKUP(B40,Standards!$J$3:$Q$11,5),"---")</f>
        <v>---</v>
      </c>
      <c r="O40" s="27" t="str">
        <f>IF(D40&gt;=1995,I40/VLOOKUP(B40,Standards!$J$3:$Q$11,7),"---")</f>
        <v>---</v>
      </c>
      <c r="P40" s="25" t="str">
        <f>IF((D40&gt;=1995)*AND(F40&gt;69),(I40/Standards!$P$10),"---")</f>
        <v>---</v>
      </c>
    </row>
    <row r="41" spans="1:16" ht="11.25">
      <c r="A41" s="23" t="str">
        <f>IF(2012-D41&lt;18,"Yth",IF(2012-D41&lt;21,"Jun","Sen"))</f>
        <v>Sen</v>
      </c>
      <c r="B41" s="7">
        <f>VLOOKUP(F41,Women__weight_categories,2,TRUE)</f>
        <v>44</v>
      </c>
      <c r="C41" s="60"/>
      <c r="D41" s="61"/>
      <c r="E41" s="61"/>
      <c r="F41" s="61"/>
      <c r="G41" s="61"/>
      <c r="H41" s="61"/>
      <c r="I41" s="42"/>
      <c r="J41" s="43"/>
      <c r="K41" s="32"/>
      <c r="L41" s="33"/>
      <c r="M41" s="8">
        <f>I41/VLOOKUP(B41,Standards!$J$3:$Q$11,3)</f>
        <v>0</v>
      </c>
      <c r="N41" s="27" t="str">
        <f>IF(D41&gt;=1992,I41/VLOOKUP(B41,Standards!$J$3:$Q$11,5),"---")</f>
        <v>---</v>
      </c>
      <c r="O41" s="27" t="str">
        <f>IF(D41&gt;=1995,I41/VLOOKUP(B41,Standards!$J$3:$Q$11,7),"---")</f>
        <v>---</v>
      </c>
      <c r="P41" s="25" t="str">
        <f>IF((D41&gt;=1995)*AND(F41&gt;69),(I41/Standards!$P$10),"---")</f>
        <v>---</v>
      </c>
    </row>
    <row r="42" spans="1:16" ht="11.25">
      <c r="A42" s="23" t="str">
        <f>IF(2012-D42&lt;18,"Yth",IF(2012-D42&lt;21,"Jun","Sen"))</f>
        <v>Sen</v>
      </c>
      <c r="B42" s="7">
        <f>VLOOKUP(F42,Women__weight_categories,2,TRUE)</f>
        <v>44</v>
      </c>
      <c r="C42" s="60"/>
      <c r="D42" s="61"/>
      <c r="E42" s="61"/>
      <c r="F42" s="61"/>
      <c r="G42" s="61"/>
      <c r="H42" s="61"/>
      <c r="I42" s="42"/>
      <c r="J42" s="43"/>
      <c r="K42" s="32"/>
      <c r="L42" s="33"/>
      <c r="M42" s="8">
        <f>I42/VLOOKUP(B42,Standards!$J$3:$Q$11,3)</f>
        <v>0</v>
      </c>
      <c r="N42" s="27" t="str">
        <f>IF(D42&gt;=1992,I42/VLOOKUP(B42,Standards!$J$3:$Q$11,5),"---")</f>
        <v>---</v>
      </c>
      <c r="O42" s="27" t="str">
        <f>IF(D42&gt;=1995,I42/VLOOKUP(B42,Standards!$J$3:$Q$11,7),"---")</f>
        <v>---</v>
      </c>
      <c r="P42" s="25" t="str">
        <f>IF((D42&gt;=1995)*AND(F42&gt;69),(I42/Standards!$P$10),"---")</f>
        <v>---</v>
      </c>
    </row>
    <row r="43" spans="1:16" ht="11.25">
      <c r="A43" s="23" t="str">
        <f>IF(2012-D43&lt;18,"Yth",IF(2012-D43&lt;21,"Jun","Sen"))</f>
        <v>Sen</v>
      </c>
      <c r="B43" s="7">
        <f>VLOOKUP(F43,Women__weight_categories,2,TRUE)</f>
        <v>44</v>
      </c>
      <c r="C43" s="60"/>
      <c r="D43" s="61"/>
      <c r="E43" s="61"/>
      <c r="F43" s="61"/>
      <c r="G43" s="61"/>
      <c r="H43" s="61"/>
      <c r="I43" s="42"/>
      <c r="J43" s="43"/>
      <c r="K43" s="32"/>
      <c r="L43" s="33"/>
      <c r="M43" s="8">
        <f>I43/VLOOKUP(B43,Standards!$J$3:$Q$11,3)</f>
        <v>0</v>
      </c>
      <c r="N43" s="27" t="str">
        <f>IF(D43&gt;=1992,I43/VLOOKUP(B43,Standards!$J$3:$Q$11,5),"---")</f>
        <v>---</v>
      </c>
      <c r="O43" s="27" t="str">
        <f>IF(D43&gt;=1995,I43/VLOOKUP(B43,Standards!$J$3:$Q$11,7),"---")</f>
        <v>---</v>
      </c>
      <c r="P43" s="25" t="str">
        <f>IF((D43&gt;=1995)*AND(F43&gt;69),(I43/Standards!$P$10),"---")</f>
        <v>---</v>
      </c>
    </row>
    <row r="44" spans="1:16" ht="11.25">
      <c r="A44" s="23" t="str">
        <f>IF(2012-D44&lt;18,"Yth",IF(2012-D44&lt;21,"Jun","Sen"))</f>
        <v>Sen</v>
      </c>
      <c r="B44" s="7">
        <f>VLOOKUP(F44,Women__weight_categories,2,TRUE)</f>
        <v>44</v>
      </c>
      <c r="C44" s="34"/>
      <c r="D44" s="35"/>
      <c r="E44" s="36"/>
      <c r="F44" s="39"/>
      <c r="G44" s="37"/>
      <c r="H44" s="37"/>
      <c r="I44" s="42"/>
      <c r="J44" s="43"/>
      <c r="K44" s="32"/>
      <c r="L44" s="33"/>
      <c r="M44" s="8">
        <f>I44/VLOOKUP(B44,Standards!$J$3:$Q$11,3)</f>
        <v>0</v>
      </c>
      <c r="N44" s="27" t="str">
        <f>IF(D44&gt;=1992,I44/VLOOKUP(B44,Standards!$J$3:$Q$11,5),"---")</f>
        <v>---</v>
      </c>
      <c r="O44" s="27" t="str">
        <f>IF(D44&gt;=1995,I44/VLOOKUP(B44,Standards!$J$3:$Q$11,7),"---")</f>
        <v>---</v>
      </c>
      <c r="P44" s="25" t="str">
        <f>IF((D44&gt;=1995)*AND(F44&gt;69),(I44/Standards!$P$10),"---")</f>
        <v>---</v>
      </c>
    </row>
    <row r="45" spans="1:16" ht="11.25">
      <c r="A45" s="23" t="str">
        <f>IF(2012-D45&lt;18,"Yth",IF(2012-D45&lt;21,"Jun","Sen"))</f>
        <v>Sen</v>
      </c>
      <c r="B45" s="7">
        <f>VLOOKUP(F45,Women__weight_categories,2,TRUE)</f>
        <v>44</v>
      </c>
      <c r="C45" s="60"/>
      <c r="D45" s="61"/>
      <c r="E45" s="61"/>
      <c r="F45" s="61"/>
      <c r="G45" s="61"/>
      <c r="H45" s="61"/>
      <c r="I45" s="42"/>
      <c r="J45" s="43"/>
      <c r="K45" s="32"/>
      <c r="L45" s="33"/>
      <c r="M45" s="8">
        <f>I45/VLOOKUP(B45,Standards!$J$3:$Q$11,3)</f>
        <v>0</v>
      </c>
      <c r="N45" s="27" t="str">
        <f>IF(D45&gt;=1992,I45/VLOOKUP(B45,Standards!$J$3:$Q$11,5),"---")</f>
        <v>---</v>
      </c>
      <c r="O45" s="27" t="str">
        <f>IF(D45&gt;=1995,I45/VLOOKUP(B45,Standards!$J$3:$Q$11,7),"---")</f>
        <v>---</v>
      </c>
      <c r="P45" s="25" t="str">
        <f>IF((D45&gt;=1995)*AND(F45&gt;69),(I45/Standards!$P$10),"---")</f>
        <v>---</v>
      </c>
    </row>
    <row r="46" spans="1:16" ht="11.25">
      <c r="A46" s="23" t="str">
        <f>IF(2012-D46&lt;18,"Yth",IF(2012-D46&lt;21,"Jun","Sen"))</f>
        <v>Sen</v>
      </c>
      <c r="B46" s="7">
        <f>VLOOKUP(F46,Women__weight_categories,2,TRUE)</f>
        <v>44</v>
      </c>
      <c r="C46" s="33"/>
      <c r="D46" s="33"/>
      <c r="E46" s="33"/>
      <c r="F46" s="38"/>
      <c r="G46" s="30"/>
      <c r="H46" s="30"/>
      <c r="I46" s="42"/>
      <c r="J46" s="43"/>
      <c r="K46" s="32"/>
      <c r="L46" s="33"/>
      <c r="M46" s="8">
        <f>I46/VLOOKUP(B46,Standards!$J$3:$Q$11,3)</f>
        <v>0</v>
      </c>
      <c r="N46" s="27" t="str">
        <f>IF(D46&gt;=1992,I46/VLOOKUP(B46,Standards!$J$3:$Q$11,5),"---")</f>
        <v>---</v>
      </c>
      <c r="O46" s="27" t="str">
        <f>IF(D46&gt;=1995,I46/VLOOKUP(B46,Standards!$J$3:$Q$11,7),"---")</f>
        <v>---</v>
      </c>
      <c r="P46" s="25" t="str">
        <f>IF((D46&gt;=1995)*AND(F46&gt;69),(I46/Standards!$P$10),"---")</f>
        <v>---</v>
      </c>
    </row>
    <row r="47" spans="1:16" ht="11.25">
      <c r="A47" s="23" t="str">
        <f>IF(2012-D47&lt;18,"Yth",IF(2012-D47&lt;21,"Jun","Sen"))</f>
        <v>Sen</v>
      </c>
      <c r="B47" s="7">
        <f>VLOOKUP(F47,Women__weight_categories,2,TRUE)</f>
        <v>44</v>
      </c>
      <c r="C47" s="60"/>
      <c r="D47" s="61"/>
      <c r="E47" s="61"/>
      <c r="F47" s="61"/>
      <c r="G47" s="61"/>
      <c r="H47" s="61"/>
      <c r="I47" s="42"/>
      <c r="J47" s="43"/>
      <c r="K47" s="32"/>
      <c r="L47" s="33"/>
      <c r="M47" s="8">
        <f>I47/VLOOKUP(B47,Standards!$J$3:$Q$11,3)</f>
        <v>0</v>
      </c>
      <c r="N47" s="27" t="str">
        <f>IF(D47&gt;=1992,I47/VLOOKUP(B47,Standards!$J$3:$Q$11,5),"---")</f>
        <v>---</v>
      </c>
      <c r="O47" s="27" t="str">
        <f>IF(D47&gt;=1995,I47/VLOOKUP(B47,Standards!$J$3:$Q$11,7),"---")</f>
        <v>---</v>
      </c>
      <c r="P47" s="25" t="str">
        <f>IF((D47&gt;=1995)*AND(F47&gt;69),(I47/Standards!$P$10),"---")</f>
        <v>---</v>
      </c>
    </row>
    <row r="48" spans="1:16" ht="11.25">
      <c r="A48" s="23" t="str">
        <f>IF(2012-D48&lt;18,"Yth",IF(2012-D48&lt;21,"Jun","Sen"))</f>
        <v>Sen</v>
      </c>
      <c r="B48" s="7">
        <f>VLOOKUP(F48,Women__weight_categories,2,TRUE)</f>
        <v>44</v>
      </c>
      <c r="C48" s="60"/>
      <c r="D48" s="61"/>
      <c r="E48" s="61"/>
      <c r="F48" s="61"/>
      <c r="G48" s="61"/>
      <c r="H48" s="61"/>
      <c r="I48" s="42"/>
      <c r="J48" s="43"/>
      <c r="K48" s="32"/>
      <c r="L48" s="33"/>
      <c r="M48" s="8">
        <f>I48/VLOOKUP(B48,Standards!$J$3:$Q$11,3)</f>
        <v>0</v>
      </c>
      <c r="N48" s="27" t="str">
        <f>IF(D48&gt;=1992,I48/VLOOKUP(B48,Standards!$J$3:$Q$11,5),"---")</f>
        <v>---</v>
      </c>
      <c r="O48" s="27" t="str">
        <f>IF(D48&gt;=1995,I48/VLOOKUP(B48,Standards!$J$3:$Q$11,7),"---")</f>
        <v>---</v>
      </c>
      <c r="P48" s="25" t="str">
        <f>IF((D48&gt;=1995)*AND(F48&gt;69),(I48/Standards!$P$10),"---")</f>
        <v>---</v>
      </c>
    </row>
    <row r="49" spans="1:16" ht="11.25">
      <c r="A49" s="23" t="str">
        <f>IF(2012-D49&lt;18,"Yth",IF(2012-D49&lt;21,"Jun","Sen"))</f>
        <v>Sen</v>
      </c>
      <c r="B49" s="7">
        <f>VLOOKUP(F49,Women__weight_categories,2,TRUE)</f>
        <v>44</v>
      </c>
      <c r="C49" s="33"/>
      <c r="D49" s="33"/>
      <c r="E49" s="33"/>
      <c r="F49" s="38"/>
      <c r="G49" s="30"/>
      <c r="H49" s="30"/>
      <c r="I49" s="42"/>
      <c r="J49" s="43"/>
      <c r="K49" s="32"/>
      <c r="L49" s="33"/>
      <c r="M49" s="8">
        <f>I49/VLOOKUP(B49,Standards!$J$3:$Q$11,3)</f>
        <v>0</v>
      </c>
      <c r="N49" s="27" t="str">
        <f>IF(D49&gt;=1992,I49/VLOOKUP(B49,Standards!$J$3:$Q$11,5),"---")</f>
        <v>---</v>
      </c>
      <c r="O49" s="27" t="str">
        <f>IF(D49&gt;=1995,I49/VLOOKUP(B49,Standards!$J$3:$Q$11,7),"---")</f>
        <v>---</v>
      </c>
      <c r="P49" s="25" t="str">
        <f>IF((D49&gt;=1995)*AND(F49&gt;69),(I49/Standards!$P$10),"---")</f>
        <v>---</v>
      </c>
    </row>
    <row r="50" spans="1:16" ht="11.25">
      <c r="A50" s="23" t="str">
        <f>IF(2012-D50&lt;18,"Yth",IF(2012-D50&lt;21,"Jun","Sen"))</f>
        <v>Sen</v>
      </c>
      <c r="B50" s="7">
        <f>VLOOKUP(F50,Women__weight_categories,2,TRUE)</f>
        <v>44</v>
      </c>
      <c r="C50" s="60"/>
      <c r="D50" s="61"/>
      <c r="E50" s="61"/>
      <c r="F50" s="61"/>
      <c r="G50" s="61"/>
      <c r="H50" s="61"/>
      <c r="I50" s="42"/>
      <c r="J50" s="43"/>
      <c r="K50" s="32"/>
      <c r="L50" s="33"/>
      <c r="M50" s="8">
        <f>I50/VLOOKUP(B50,Standards!$J$3:$Q$11,3)</f>
        <v>0</v>
      </c>
      <c r="N50" s="27" t="str">
        <f>IF(D50&gt;=1992,I50/VLOOKUP(B50,Standards!$J$3:$Q$11,5),"---")</f>
        <v>---</v>
      </c>
      <c r="O50" s="27" t="str">
        <f>IF(D50&gt;=1995,I50/VLOOKUP(B50,Standards!$J$3:$Q$11,7),"---")</f>
        <v>---</v>
      </c>
      <c r="P50" s="25" t="str">
        <f>IF((D50&gt;=1995)*AND(F50&gt;69),(I50/Standards!$P$10),"---")</f>
        <v>---</v>
      </c>
    </row>
    <row r="51" spans="1:16" ht="11.25">
      <c r="A51" s="23" t="str">
        <f>IF(2012-D51&lt;18,"Yth",IF(2012-D51&lt;21,"Jun","Sen"))</f>
        <v>Sen</v>
      </c>
      <c r="B51" s="7">
        <f>VLOOKUP(F51,Women__weight_categories,2,TRUE)</f>
        <v>44</v>
      </c>
      <c r="C51" s="29"/>
      <c r="D51" s="30"/>
      <c r="E51" s="30"/>
      <c r="F51" s="38"/>
      <c r="G51" s="31"/>
      <c r="H51" s="31"/>
      <c r="I51" s="42"/>
      <c r="J51" s="43"/>
      <c r="K51" s="32"/>
      <c r="L51" s="33"/>
      <c r="M51" s="8">
        <f>I51/VLOOKUP(B51,Standards!$J$3:$Q$11,3)</f>
        <v>0</v>
      </c>
      <c r="N51" s="27" t="str">
        <f>IF(D51&gt;=1992,I51/VLOOKUP(B51,Standards!$J$3:$Q$11,5),"---")</f>
        <v>---</v>
      </c>
      <c r="O51" s="27" t="str">
        <f>IF(D51&gt;=1995,I51/VLOOKUP(B51,Standards!$J$3:$Q$11,7),"---")</f>
        <v>---</v>
      </c>
      <c r="P51" s="25" t="str">
        <f>IF((D51&gt;=1995)*AND(F51&gt;69),(I51/Standards!$P$10),"---")</f>
        <v>---</v>
      </c>
    </row>
    <row r="52" spans="1:16" ht="11.25">
      <c r="A52" s="23" t="str">
        <f>IF(2012-D52&lt;18,"Yth",IF(2012-D52&lt;21,"Jun","Sen"))</f>
        <v>Sen</v>
      </c>
      <c r="B52" s="7">
        <f>VLOOKUP(F52,Women__weight_categories,2,TRUE)</f>
        <v>44</v>
      </c>
      <c r="C52" s="60"/>
      <c r="D52" s="61"/>
      <c r="E52" s="61"/>
      <c r="F52" s="61"/>
      <c r="G52" s="61"/>
      <c r="H52" s="61"/>
      <c r="I52" s="42"/>
      <c r="J52" s="43"/>
      <c r="K52" s="32"/>
      <c r="L52" s="33"/>
      <c r="M52" s="8">
        <f>I52/VLOOKUP(B52,Standards!$J$3:$Q$11,3)</f>
        <v>0</v>
      </c>
      <c r="N52" s="27" t="str">
        <f>IF(D52&gt;=1992,I52/VLOOKUP(B52,Standards!$J$3:$Q$11,5),"---")</f>
        <v>---</v>
      </c>
      <c r="O52" s="27" t="str">
        <f>IF(D52&gt;=1995,I52/VLOOKUP(B52,Standards!$J$3:$Q$11,7),"---")</f>
        <v>---</v>
      </c>
      <c r="P52" s="25" t="str">
        <f>IF((D52&gt;=1995)*AND(F52&gt;69),(I52/Standards!$P$10),"---")</f>
        <v>---</v>
      </c>
    </row>
    <row r="53" spans="1:16" ht="11.25">
      <c r="A53" s="23" t="str">
        <f>IF(2012-D53&lt;18,"Yth",IF(2012-D53&lt;21,"Jun","Sen"))</f>
        <v>Sen</v>
      </c>
      <c r="B53" s="7">
        <f>VLOOKUP(F53,Women__weight_categories,2,TRUE)</f>
        <v>44</v>
      </c>
      <c r="C53" s="60"/>
      <c r="D53" s="61"/>
      <c r="E53" s="61"/>
      <c r="F53" s="61"/>
      <c r="G53" s="61"/>
      <c r="H53" s="61"/>
      <c r="I53" s="42"/>
      <c r="J53" s="43"/>
      <c r="K53" s="32"/>
      <c r="L53" s="33"/>
      <c r="M53" s="8">
        <f>I53/VLOOKUP(B53,Standards!$J$3:$Q$11,3)</f>
        <v>0</v>
      </c>
      <c r="N53" s="27" t="str">
        <f>IF(D53&gt;=1992,I53/VLOOKUP(B53,Standards!$J$3:$Q$11,5),"---")</f>
        <v>---</v>
      </c>
      <c r="O53" s="27" t="str">
        <f>IF(D53&gt;=1995,I53/VLOOKUP(B53,Standards!$J$3:$Q$11,7),"---")</f>
        <v>---</v>
      </c>
      <c r="P53" s="25" t="str">
        <f>IF((D53&gt;=1995)*AND(F53&gt;69),(I53/Standards!$P$10),"---")</f>
        <v>---</v>
      </c>
    </row>
    <row r="54" spans="1:16" ht="11.25">
      <c r="A54" s="23" t="str">
        <f>IF(2012-D54&lt;18,"Yth",IF(2012-D54&lt;21,"Jun","Sen"))</f>
        <v>Sen</v>
      </c>
      <c r="B54" s="7">
        <f>VLOOKUP(F54,Women__weight_categories,2,TRUE)</f>
        <v>44</v>
      </c>
      <c r="C54" s="60"/>
      <c r="D54" s="61"/>
      <c r="E54" s="61"/>
      <c r="F54" s="61"/>
      <c r="G54" s="61"/>
      <c r="H54" s="61"/>
      <c r="I54" s="42"/>
      <c r="J54" s="43"/>
      <c r="K54" s="32"/>
      <c r="L54" s="33"/>
      <c r="M54" s="8">
        <f>I54/VLOOKUP(B54,Standards!$J$3:$Q$11,3)</f>
        <v>0</v>
      </c>
      <c r="N54" s="27" t="str">
        <f>IF(D54&gt;=1992,I54/VLOOKUP(B54,Standards!$J$3:$Q$11,5),"---")</f>
        <v>---</v>
      </c>
      <c r="O54" s="27" t="str">
        <f>IF(D54&gt;=1995,I54/VLOOKUP(B54,Standards!$J$3:$Q$11,7),"---")</f>
        <v>---</v>
      </c>
      <c r="P54" s="25" t="str">
        <f>IF((D54&gt;=1995)*AND(F54&gt;69),(I54/Standards!$P$10),"---")</f>
        <v>---</v>
      </c>
    </row>
    <row r="55" spans="1:16" ht="11.25">
      <c r="A55" s="23" t="str">
        <f>IF(2012-D55&lt;18,"Yth",IF(2012-D55&lt;21,"Jun","Sen"))</f>
        <v>Sen</v>
      </c>
      <c r="B55" s="7">
        <f>VLOOKUP(F55,Women__weight_categories,2,TRUE)</f>
        <v>44</v>
      </c>
      <c r="C55" s="60"/>
      <c r="D55" s="61"/>
      <c r="E55" s="61"/>
      <c r="F55" s="61"/>
      <c r="G55" s="61"/>
      <c r="H55" s="61"/>
      <c r="I55" s="42"/>
      <c r="J55" s="43"/>
      <c r="K55" s="32"/>
      <c r="L55" s="33"/>
      <c r="M55" s="8">
        <f>I55/VLOOKUP(B55,Standards!$J$3:$Q$11,3)</f>
        <v>0</v>
      </c>
      <c r="N55" s="27" t="str">
        <f>IF(D55&gt;=1992,I55/VLOOKUP(B55,Standards!$J$3:$Q$11,5),"---")</f>
        <v>---</v>
      </c>
      <c r="O55" s="27" t="str">
        <f>IF(D55&gt;=1995,I55/VLOOKUP(B55,Standards!$J$3:$Q$11,7),"---")</f>
        <v>---</v>
      </c>
      <c r="P55" s="25" t="str">
        <f>IF((D55&gt;=1995)*AND(F55&gt;69),(I55/Standards!$P$10),"---")</f>
        <v>---</v>
      </c>
    </row>
    <row r="56" spans="1:16" ht="11.25">
      <c r="A56" s="23" t="str">
        <f>IF(2012-D56&lt;18,"Yth",IF(2012-D56&lt;21,"Jun","Sen"))</f>
        <v>Sen</v>
      </c>
      <c r="B56" s="7">
        <f>VLOOKUP(F56,Women__weight_categories,2,TRUE)</f>
        <v>44</v>
      </c>
      <c r="C56" s="60"/>
      <c r="D56" s="61"/>
      <c r="E56" s="61"/>
      <c r="F56" s="61"/>
      <c r="G56" s="61"/>
      <c r="H56" s="61"/>
      <c r="I56" s="42"/>
      <c r="J56" s="43"/>
      <c r="K56" s="32"/>
      <c r="L56" s="33"/>
      <c r="M56" s="8">
        <f>I56/VLOOKUP(B56,Standards!$J$3:$Q$11,3)</f>
        <v>0</v>
      </c>
      <c r="N56" s="27" t="str">
        <f>IF(D56&gt;=1992,I56/VLOOKUP(B56,Standards!$J$3:$Q$11,5),"---")</f>
        <v>---</v>
      </c>
      <c r="O56" s="27" t="str">
        <f>IF(D56&gt;=1995,I56/VLOOKUP(B56,Standards!$J$3:$Q$11,7),"---")</f>
        <v>---</v>
      </c>
      <c r="P56" s="25" t="str">
        <f>IF((D56&gt;=1995)*AND(F56&gt;69),(I56/Standards!$P$10),"---")</f>
        <v>---</v>
      </c>
    </row>
    <row r="57" spans="1:16" ht="11.25">
      <c r="A57" s="23" t="str">
        <f>IF(2012-D57&lt;18,"Yth",IF(2012-D57&lt;21,"Jun","Sen"))</f>
        <v>Sen</v>
      </c>
      <c r="B57" s="7">
        <f>VLOOKUP(F57,Women__weight_categories,2,TRUE)</f>
        <v>44</v>
      </c>
      <c r="C57" s="34"/>
      <c r="D57" s="35"/>
      <c r="E57" s="36"/>
      <c r="F57" s="39"/>
      <c r="G57" s="37"/>
      <c r="H57" s="37"/>
      <c r="I57" s="42"/>
      <c r="J57" s="43"/>
      <c r="K57" s="32"/>
      <c r="L57" s="33"/>
      <c r="M57" s="8">
        <f>I57/VLOOKUP(B57,Standards!$J$3:$Q$11,3)</f>
        <v>0</v>
      </c>
      <c r="N57" s="27" t="str">
        <f>IF(D57&gt;=1992,I57/VLOOKUP(B57,Standards!$J$3:$Q$11,5),"---")</f>
        <v>---</v>
      </c>
      <c r="O57" s="27" t="str">
        <f>IF(D57&gt;=1995,I57/VLOOKUP(B57,Standards!$J$3:$Q$11,7),"---")</f>
        <v>---</v>
      </c>
      <c r="P57" s="25" t="str">
        <f>IF((D57&gt;=1995)*AND(F57&gt;69),(I57/Standards!$P$10),"---")</f>
        <v>---</v>
      </c>
    </row>
    <row r="58" spans="1:16" ht="11.25">
      <c r="A58" s="23" t="str">
        <f>IF(2012-D58&lt;18,"Yth",IF(2012-D58&lt;21,"Jun","Sen"))</f>
        <v>Sen</v>
      </c>
      <c r="B58" s="7">
        <f>VLOOKUP(F58,Women__weight_categories,2,TRUE)</f>
        <v>44</v>
      </c>
      <c r="C58" s="60"/>
      <c r="D58" s="61"/>
      <c r="E58" s="61"/>
      <c r="F58" s="61"/>
      <c r="G58" s="61"/>
      <c r="H58" s="61"/>
      <c r="I58" s="42"/>
      <c r="J58" s="43"/>
      <c r="K58" s="32"/>
      <c r="L58" s="33"/>
      <c r="M58" s="8">
        <f>I58/VLOOKUP(B58,Standards!$J$3:$Q$11,3)</f>
        <v>0</v>
      </c>
      <c r="N58" s="27" t="str">
        <f>IF(D58&gt;=1992,I58/VLOOKUP(B58,Standards!$J$3:$Q$11,5),"---")</f>
        <v>---</v>
      </c>
      <c r="O58" s="27" t="str">
        <f>IF(D58&gt;=1995,I58/VLOOKUP(B58,Standards!$J$3:$Q$11,7),"---")</f>
        <v>---</v>
      </c>
      <c r="P58" s="25" t="str">
        <f>IF((D58&gt;=1995)*AND(F58&gt;69),(I58/Standards!$P$10),"---")</f>
        <v>---</v>
      </c>
    </row>
    <row r="59" spans="1:16" ht="11.25">
      <c r="A59" s="23" t="str">
        <f>IF(2012-D59&lt;18,"Yth",IF(2012-D59&lt;21,"Jun","Sen"))</f>
        <v>Sen</v>
      </c>
      <c r="B59" s="7">
        <f>VLOOKUP(F59,Women__weight_categories,2,TRUE)</f>
        <v>44</v>
      </c>
      <c r="C59" s="60"/>
      <c r="D59" s="61"/>
      <c r="E59" s="61"/>
      <c r="F59" s="61"/>
      <c r="G59" s="61"/>
      <c r="H59" s="61"/>
      <c r="I59" s="42"/>
      <c r="J59" s="43"/>
      <c r="K59" s="32"/>
      <c r="L59" s="33"/>
      <c r="M59" s="8">
        <f>I59/VLOOKUP(B59,Standards!$J$3:$Q$11,3)</f>
        <v>0</v>
      </c>
      <c r="N59" s="27" t="str">
        <f>IF(D59&gt;=1992,I59/VLOOKUP(B59,Standards!$J$3:$Q$11,5),"---")</f>
        <v>---</v>
      </c>
      <c r="O59" s="27" t="str">
        <f>IF(D59&gt;=1995,I59/VLOOKUP(B59,Standards!$J$3:$Q$11,7),"---")</f>
        <v>---</v>
      </c>
      <c r="P59" s="25" t="str">
        <f>IF((D59&gt;=1995)*AND(F59&gt;69),(I59/Standards!$P$10),"---")</f>
        <v>---</v>
      </c>
    </row>
    <row r="60" spans="1:16" ht="11.25">
      <c r="A60" s="23" t="str">
        <f>IF(2012-D60&lt;18,"Yth",IF(2012-D60&lt;21,"Jun","Sen"))</f>
        <v>Sen</v>
      </c>
      <c r="B60" s="7">
        <f>VLOOKUP(F60,Women__weight_categories,2,TRUE)</f>
        <v>44</v>
      </c>
      <c r="C60" s="29"/>
      <c r="D60" s="30"/>
      <c r="E60" s="30"/>
      <c r="F60" s="38"/>
      <c r="G60" s="31"/>
      <c r="H60" s="31"/>
      <c r="I60" s="42"/>
      <c r="J60" s="43"/>
      <c r="K60" s="32"/>
      <c r="L60" s="33"/>
      <c r="M60" s="8">
        <f>I60/VLOOKUP(B60,Standards!$J$3:$Q$11,3)</f>
        <v>0</v>
      </c>
      <c r="N60" s="27" t="str">
        <f>IF(D60&gt;=1992,I60/VLOOKUP(B60,Standards!$J$3:$Q$11,5),"---")</f>
        <v>---</v>
      </c>
      <c r="O60" s="27" t="str">
        <f>IF(D60&gt;=1995,I60/VLOOKUP(B60,Standards!$J$3:$Q$11,7),"---")</f>
        <v>---</v>
      </c>
      <c r="P60" s="25" t="str">
        <f>IF((D60&gt;=1995)*AND(F60&gt;69),(I60/Standards!$P$10),"---")</f>
        <v>---</v>
      </c>
    </row>
    <row r="61" spans="1:16" ht="11.25">
      <c r="A61" s="23" t="str">
        <f>IF(2012-D61&lt;18,"Yth",IF(2012-D61&lt;21,"Jun","Sen"))</f>
        <v>Sen</v>
      </c>
      <c r="B61" s="7">
        <f>VLOOKUP(F61,Women__weight_categories,2,TRUE)</f>
        <v>44</v>
      </c>
      <c r="C61" s="29"/>
      <c r="D61" s="30"/>
      <c r="E61" s="30"/>
      <c r="F61" s="38"/>
      <c r="G61" s="31"/>
      <c r="H61" s="31"/>
      <c r="I61" s="42"/>
      <c r="J61" s="43"/>
      <c r="K61" s="32"/>
      <c r="L61" s="33"/>
      <c r="M61" s="8">
        <f>I61/VLOOKUP(B61,Standards!$J$3:$Q$11,3)</f>
        <v>0</v>
      </c>
      <c r="N61" s="27" t="str">
        <f>IF(D61&gt;=1992,I61/VLOOKUP(B61,Standards!$J$3:$Q$11,5),"---")</f>
        <v>---</v>
      </c>
      <c r="O61" s="27" t="str">
        <f>IF(D61&gt;=1995,I61/VLOOKUP(B61,Standards!$J$3:$Q$11,7),"---")</f>
        <v>---</v>
      </c>
      <c r="P61" s="25" t="str">
        <f>IF((D61&gt;=1995)*AND(F61&gt;69),(I61/Standards!$P$10),"---")</f>
        <v>---</v>
      </c>
    </row>
    <row r="62" spans="2:12" ht="11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</sheetData>
  <sheetProtection/>
  <conditionalFormatting sqref="A2:A61">
    <cfRule type="containsText" priority="5" dxfId="1" operator="containsText" text="Yth">
      <formula>NOT(ISERROR(SEARCH("Yth",A2)))</formula>
    </cfRule>
    <cfRule type="containsText" priority="6" dxfId="0" operator="containsText" text="Jun">
      <formula>NOT(ISERROR(SEARCH("Jun",A2)))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6.140625" style="24" bestFit="1" customWidth="1"/>
    <col min="2" max="2" width="3.57421875" style="24" bestFit="1" customWidth="1"/>
    <col min="3" max="3" width="16.421875" style="24" customWidth="1"/>
    <col min="4" max="4" width="6.57421875" style="24" customWidth="1"/>
    <col min="5" max="5" width="4.57421875" style="24" bestFit="1" customWidth="1"/>
    <col min="6" max="6" width="6.7109375" style="24" bestFit="1" customWidth="1"/>
    <col min="7" max="7" width="6.00390625" style="24" bestFit="1" customWidth="1"/>
    <col min="8" max="8" width="5.7109375" style="24" bestFit="1" customWidth="1"/>
    <col min="9" max="9" width="4.421875" style="24" bestFit="1" customWidth="1"/>
    <col min="10" max="10" width="6.57421875" style="24" bestFit="1" customWidth="1"/>
    <col min="11" max="11" width="8.7109375" style="24" bestFit="1" customWidth="1"/>
    <col min="12" max="12" width="33.00390625" style="24" bestFit="1" customWidth="1"/>
    <col min="13" max="16384" width="9.140625" style="24" customWidth="1"/>
  </cols>
  <sheetData>
    <row r="1" spans="1:13" s="3" customFormat="1" ht="11.25">
      <c r="A1" s="28" t="s">
        <v>4</v>
      </c>
      <c r="B1" s="28" t="s">
        <v>22</v>
      </c>
      <c r="C1" s="3" t="s">
        <v>0</v>
      </c>
      <c r="D1" s="4" t="s">
        <v>2</v>
      </c>
      <c r="E1" s="3" t="s">
        <v>10</v>
      </c>
      <c r="F1" s="5" t="s">
        <v>11</v>
      </c>
      <c r="G1" s="6" t="s">
        <v>3</v>
      </c>
      <c r="H1" s="6" t="s">
        <v>12</v>
      </c>
      <c r="I1" s="6" t="s">
        <v>1</v>
      </c>
      <c r="J1" s="5" t="s">
        <v>13</v>
      </c>
      <c r="K1" s="3" t="s">
        <v>14</v>
      </c>
      <c r="L1" s="3" t="s">
        <v>15</v>
      </c>
      <c r="M1" s="7" t="s">
        <v>18</v>
      </c>
    </row>
    <row r="2" spans="1:13" ht="11.25">
      <c r="A2" s="23" t="str">
        <f>IF(2012-D2&lt;18,"Yth",IF(2012-D2&lt;21,"Jun","Sen"))</f>
        <v>Jun</v>
      </c>
      <c r="B2" s="7">
        <f>VLOOKUP(F2,Women__weight_categories,2,TRUE)</f>
        <v>58</v>
      </c>
      <c r="C2" s="26" t="s">
        <v>60</v>
      </c>
      <c r="D2" s="64">
        <v>1992</v>
      </c>
      <c r="E2" s="65" t="s">
        <v>9</v>
      </c>
      <c r="F2" s="66">
        <v>57.95</v>
      </c>
      <c r="G2" s="64">
        <v>66</v>
      </c>
      <c r="H2" s="64">
        <v>71</v>
      </c>
      <c r="I2" s="64">
        <f>SUM(G2:H2)</f>
        <v>137</v>
      </c>
      <c r="J2" s="69">
        <f>I2*IF(F2&gt;125.441,1,10^(1.056683941*LOG(F2/125.441)^2))</f>
        <v>180.12765994918811</v>
      </c>
      <c r="K2" s="68">
        <v>40811</v>
      </c>
      <c r="L2" s="26" t="s">
        <v>73</v>
      </c>
      <c r="M2" s="27">
        <f>IF(D2&gt;=1992,I2/VLOOKUP(B2,Standards!$J$3:$Q$11,5),"---")</f>
        <v>1.0378787878787878</v>
      </c>
    </row>
    <row r="3" spans="1:13" ht="11.25">
      <c r="A3" s="23" t="str">
        <f>IF(2012-D3&lt;18,"Yth",IF(2012-D3&lt;21,"Jun","Sen"))</f>
        <v>Jun</v>
      </c>
      <c r="B3" s="7">
        <f>VLOOKUP(F3,Women__weight_categories,2,TRUE)</f>
        <v>58</v>
      </c>
      <c r="C3" s="26" t="s">
        <v>59</v>
      </c>
      <c r="D3" s="64">
        <v>1994</v>
      </c>
      <c r="E3" s="65" t="s">
        <v>52</v>
      </c>
      <c r="F3" s="66">
        <v>57.65</v>
      </c>
      <c r="G3" s="64">
        <v>52</v>
      </c>
      <c r="H3" s="64">
        <v>76</v>
      </c>
      <c r="I3" s="64">
        <f>SUM(G3:H3)</f>
        <v>128</v>
      </c>
      <c r="J3" s="69">
        <f>I3*IF(F3&gt;125.441,1,10^(1.056683941*LOG(F3/125.441)^2))</f>
        <v>168.91681806798437</v>
      </c>
      <c r="K3" s="68">
        <v>40811</v>
      </c>
      <c r="L3" s="26" t="s">
        <v>73</v>
      </c>
      <c r="M3" s="27">
        <f>IF(D3&gt;=1992,I3/VLOOKUP(B3,Standards!$J$3:$Q$11,5),"---")</f>
        <v>0.9696969696969697</v>
      </c>
    </row>
    <row r="4" spans="1:13" ht="11.25">
      <c r="A4" s="23" t="str">
        <f>IF(2012-D4&lt;18,"Yth",IF(2012-D4&lt;21,"Jun","Sen"))</f>
        <v>Yth</v>
      </c>
      <c r="B4" s="7" t="str">
        <f>VLOOKUP(F4,Women__weight_categories,2,TRUE)</f>
        <v>75+</v>
      </c>
      <c r="C4" s="26" t="s">
        <v>50</v>
      </c>
      <c r="D4" s="64">
        <v>1996</v>
      </c>
      <c r="E4" s="65" t="s">
        <v>46</v>
      </c>
      <c r="F4" s="66">
        <v>93.4</v>
      </c>
      <c r="G4" s="64">
        <v>58</v>
      </c>
      <c r="H4" s="64">
        <v>79</v>
      </c>
      <c r="I4" s="64">
        <f>SUM(G4:H4)</f>
        <v>137</v>
      </c>
      <c r="J4" s="69">
        <f>I4*IF(F4&gt;125.441,1,10^(1.056683941*LOG(F4/125.441)^2))</f>
        <v>142.57991244836123</v>
      </c>
      <c r="K4" s="68">
        <v>40811</v>
      </c>
      <c r="L4" s="26" t="s">
        <v>73</v>
      </c>
      <c r="M4" s="27">
        <f>IF(D4&gt;=1992,I4/VLOOKUP(B4,Standards!$J$3:$Q$11,5),"---")</f>
        <v>0.8203592814371258</v>
      </c>
    </row>
    <row r="5" spans="1:13" ht="11.25">
      <c r="A5" s="23" t="str">
        <f>IF(2012-D5&lt;18,"Yth",IF(2012-D5&lt;21,"Jun","Sen"))</f>
        <v>Yth</v>
      </c>
      <c r="B5" s="7">
        <f>VLOOKUP(F5,Women__weight_categories,2,TRUE)</f>
        <v>58</v>
      </c>
      <c r="C5" s="26" t="s">
        <v>58</v>
      </c>
      <c r="D5" s="64">
        <v>1997</v>
      </c>
      <c r="E5" s="65" t="s">
        <v>34</v>
      </c>
      <c r="F5" s="66">
        <v>56.4</v>
      </c>
      <c r="G5" s="64">
        <v>46</v>
      </c>
      <c r="H5" s="64">
        <v>61</v>
      </c>
      <c r="I5" s="64">
        <f>SUM(G5:H5)</f>
        <v>107</v>
      </c>
      <c r="J5" s="69">
        <f>I5*IF(F5&gt;125.441,1,10^(1.056683941*LOG(F5/125.441)^2))</f>
        <v>143.46160709896765</v>
      </c>
      <c r="K5" s="68">
        <v>40811</v>
      </c>
      <c r="L5" s="26" t="s">
        <v>73</v>
      </c>
      <c r="M5" s="27">
        <f>IF(D5&gt;=1992,I5/VLOOKUP(B5,Standards!$J$3:$Q$11,5),"---")</f>
        <v>0.8106060606060606</v>
      </c>
    </row>
    <row r="6" spans="1:13" ht="11.25">
      <c r="A6" s="23" t="str">
        <f>IF(2012-D6&lt;18,"Yth",IF(2012-D6&lt;21,"Jun","Sen"))</f>
        <v>Yth</v>
      </c>
      <c r="B6" s="7">
        <f>VLOOKUP(F6,Women__weight_categories,2,TRUE)</f>
        <v>69</v>
      </c>
      <c r="C6" s="26" t="s">
        <v>48</v>
      </c>
      <c r="D6" s="64">
        <v>1995</v>
      </c>
      <c r="E6" s="65" t="s">
        <v>46</v>
      </c>
      <c r="F6" s="66">
        <v>67.3</v>
      </c>
      <c r="G6" s="64">
        <v>51</v>
      </c>
      <c r="H6" s="64">
        <v>67</v>
      </c>
      <c r="I6" s="64">
        <f>SUM(G6:H6)</f>
        <v>118</v>
      </c>
      <c r="J6" s="69">
        <f>I6*IF(F6&gt;125.441,1,10^(1.056683941*LOG(F6/125.441)^2))</f>
        <v>140.97972148642435</v>
      </c>
      <c r="K6" s="68">
        <v>40811</v>
      </c>
      <c r="L6" s="26" t="s">
        <v>73</v>
      </c>
      <c r="M6" s="27">
        <f>IF(D6&gt;=1992,I6/VLOOKUP(B6,Standards!$J$3:$Q$11,5),"---")</f>
        <v>0.7866666666666666</v>
      </c>
    </row>
    <row r="7" spans="1:13" ht="11.25">
      <c r="A7" s="23" t="str">
        <f>IF(2012-D7&lt;18,"Yth",IF(2012-D7&lt;21,"Jun","Sen"))</f>
        <v>Yth</v>
      </c>
      <c r="B7" s="7" t="str">
        <f>VLOOKUP(F7,Women__weight_categories,2,TRUE)</f>
        <v>75+</v>
      </c>
      <c r="C7" s="26" t="s">
        <v>50</v>
      </c>
      <c r="D7" s="64">
        <v>1996</v>
      </c>
      <c r="E7" s="65" t="s">
        <v>46</v>
      </c>
      <c r="F7" s="66">
        <v>92.6</v>
      </c>
      <c r="G7" s="64">
        <v>55</v>
      </c>
      <c r="H7" s="64">
        <v>76</v>
      </c>
      <c r="I7" s="64">
        <f>SUM(G7:H7)</f>
        <v>131</v>
      </c>
      <c r="J7" s="69">
        <f>I7*IF(F7&gt;125.441,1,10^(1.056683941*LOG(F7/125.441)^2))</f>
        <v>136.6580285083945</v>
      </c>
      <c r="K7" s="68">
        <v>40809</v>
      </c>
      <c r="L7" s="26" t="s">
        <v>95</v>
      </c>
      <c r="M7" s="27">
        <f>IF(D7&gt;=1992,I7/VLOOKUP(B7,Standards!$J$3:$Q$11,5),"---")</f>
        <v>0.7844311377245509</v>
      </c>
    </row>
    <row r="8" spans="1:13" ht="11.25">
      <c r="A8" s="23" t="str">
        <f>IF(2012-D8&lt;18,"Yth",IF(2012-D8&lt;21,"Jun","Sen"))</f>
        <v>Yth</v>
      </c>
      <c r="B8" s="7">
        <f>VLOOKUP(F8,Women__weight_categories,2,TRUE)</f>
        <v>58</v>
      </c>
      <c r="C8" s="26" t="s">
        <v>58</v>
      </c>
      <c r="D8" s="64">
        <v>1997</v>
      </c>
      <c r="E8" s="65" t="s">
        <v>34</v>
      </c>
      <c r="F8" s="66">
        <v>56.55</v>
      </c>
      <c r="G8" s="64">
        <v>45</v>
      </c>
      <c r="H8" s="64">
        <v>59</v>
      </c>
      <c r="I8" s="64">
        <f>SUM(G8:H8)</f>
        <v>104</v>
      </c>
      <c r="J8" s="69">
        <f>I8*IF(F8&gt;125.441,1,10^(1.056683941*LOG(F8/125.441)^2))</f>
        <v>139.16831154060552</v>
      </c>
      <c r="K8" s="68">
        <v>40809</v>
      </c>
      <c r="L8" s="26" t="s">
        <v>95</v>
      </c>
      <c r="M8" s="27">
        <f>IF(D8&gt;=1992,I8/VLOOKUP(B8,Standards!$J$3:$Q$11,5),"---")</f>
        <v>0.7878787878787878</v>
      </c>
    </row>
    <row r="9" spans="1:13" ht="11.25">
      <c r="A9" s="23" t="str">
        <f>IF(2012-D9&lt;18,"Yth",IF(2012-D9&lt;21,"Jun","Sen"))</f>
        <v>Yth</v>
      </c>
      <c r="B9" s="7">
        <f>VLOOKUP(F9,Women__weight_categories,2,TRUE)</f>
        <v>53</v>
      </c>
      <c r="C9" s="26" t="s">
        <v>66</v>
      </c>
      <c r="D9" s="64">
        <v>1999</v>
      </c>
      <c r="E9" s="65" t="s">
        <v>34</v>
      </c>
      <c r="F9" s="66">
        <v>50.9</v>
      </c>
      <c r="G9" s="64">
        <v>43</v>
      </c>
      <c r="H9" s="64">
        <v>57</v>
      </c>
      <c r="I9" s="64">
        <f>SUM(G9:H9)</f>
        <v>100</v>
      </c>
      <c r="J9" s="69">
        <f>I9*IF(F9&gt;125.441,1,10^(1.056683941*LOG(F9/125.441)^2))</f>
        <v>145.25926049532376</v>
      </c>
      <c r="K9" s="68">
        <v>40809</v>
      </c>
      <c r="L9" s="26" t="s">
        <v>95</v>
      </c>
      <c r="M9" s="27">
        <f>IF(D9&gt;=1992,I9/VLOOKUP(B9,Standards!$J$3:$Q$11,5),"---")</f>
        <v>0.7874015748031497</v>
      </c>
    </row>
    <row r="10" spans="1:13" ht="11.25">
      <c r="A10" s="23" t="str">
        <f>IF(2012-D10&lt;18,"Yth",IF(2012-D10&lt;21,"Jun","Sen"))</f>
        <v>Jun</v>
      </c>
      <c r="B10" s="7">
        <f>VLOOKUP(F10,Women__weight_categories,2,TRUE)</f>
        <v>53</v>
      </c>
      <c r="C10" s="26" t="s">
        <v>42</v>
      </c>
      <c r="D10" s="64">
        <v>1994</v>
      </c>
      <c r="E10" s="65" t="s">
        <v>9</v>
      </c>
      <c r="F10" s="66">
        <v>51.7</v>
      </c>
      <c r="G10" s="64">
        <v>42</v>
      </c>
      <c r="H10" s="64">
        <v>58</v>
      </c>
      <c r="I10" s="64">
        <f>SUM(G10:H10)</f>
        <v>100</v>
      </c>
      <c r="J10" s="69">
        <f>I10*IF(F10&gt;125.441,1,10^(1.056683941*LOG(F10/125.441)^2))</f>
        <v>143.41198762289807</v>
      </c>
      <c r="K10" s="68">
        <v>40811</v>
      </c>
      <c r="L10" s="26" t="s">
        <v>73</v>
      </c>
      <c r="M10" s="27">
        <f>IF(D10&gt;=1992,I10/VLOOKUP(B10,Standards!$J$3:$Q$11,5),"---")</f>
        <v>0.7874015748031497</v>
      </c>
    </row>
    <row r="11" spans="1:13" ht="11.25">
      <c r="A11" s="23" t="str">
        <f>IF(2012-D11&lt;18,"Yth",IF(2012-D11&lt;21,"Jun","Sen"))</f>
        <v>Yth</v>
      </c>
      <c r="B11" s="7">
        <f>VLOOKUP(F11,Women__weight_categories,2,TRUE)</f>
        <v>63</v>
      </c>
      <c r="C11" s="26" t="s">
        <v>100</v>
      </c>
      <c r="D11" s="64">
        <v>1997</v>
      </c>
      <c r="E11" s="65" t="s">
        <v>30</v>
      </c>
      <c r="F11" s="66">
        <v>61.1</v>
      </c>
      <c r="G11" s="64">
        <v>47</v>
      </c>
      <c r="H11" s="64">
        <v>67</v>
      </c>
      <c r="I11" s="64">
        <f>SUM(G11:H11)</f>
        <v>114</v>
      </c>
      <c r="J11" s="69">
        <f>I11*IF(F11&gt;125.441,1,10^(1.056683941*LOG(F11/125.441)^2))</f>
        <v>144.55379111073478</v>
      </c>
      <c r="K11" s="68">
        <v>40809</v>
      </c>
      <c r="L11" s="26" t="s">
        <v>95</v>
      </c>
      <c r="M11" s="27">
        <f>IF(D11&gt;=1992,I11/VLOOKUP(B11,Standards!$J$3:$Q$11,5),"---")</f>
        <v>0.7808219178082192</v>
      </c>
    </row>
    <row r="12" spans="1:13" ht="11.25">
      <c r="A12" s="23" t="str">
        <f>IF(2012-D12&lt;18,"Yth",IF(2012-D12&lt;21,"Jun","Sen"))</f>
        <v>Yth</v>
      </c>
      <c r="B12" s="7">
        <f>VLOOKUP(F12,Women__weight_categories,2,TRUE)</f>
        <v>63</v>
      </c>
      <c r="C12" s="26" t="s">
        <v>100</v>
      </c>
      <c r="D12" s="64">
        <v>1997</v>
      </c>
      <c r="E12" s="65" t="s">
        <v>30</v>
      </c>
      <c r="F12" s="66">
        <v>62</v>
      </c>
      <c r="G12" s="64">
        <v>44</v>
      </c>
      <c r="H12" s="64">
        <v>67</v>
      </c>
      <c r="I12" s="64">
        <f>SUM(G12:H12)</f>
        <v>111</v>
      </c>
      <c r="J12" s="69">
        <f>I12*IF(F12&gt;125.441,1,10^(1.056683941*LOG(F12/125.441)^2))</f>
        <v>139.4111668367301</v>
      </c>
      <c r="K12" s="68">
        <v>40809</v>
      </c>
      <c r="L12" s="26" t="s">
        <v>73</v>
      </c>
      <c r="M12" s="27">
        <f>IF(D12&gt;=1992,I12/VLOOKUP(B12,Standards!$J$3:$Q$11,5),"---")</f>
        <v>0.7602739726027398</v>
      </c>
    </row>
    <row r="13" spans="1:13" ht="11.25">
      <c r="A13" s="23" t="str">
        <f>IF(2012-D13&lt;18,"Yth",IF(2012-D13&lt;21,"Jun","Sen"))</f>
        <v>Yth</v>
      </c>
      <c r="B13" s="7">
        <f>VLOOKUP(F13,Women__weight_categories,2,TRUE)</f>
        <v>44</v>
      </c>
      <c r="C13" s="26" t="s">
        <v>57</v>
      </c>
      <c r="D13" s="64">
        <v>1995</v>
      </c>
      <c r="E13" s="65" t="s">
        <v>34</v>
      </c>
      <c r="F13" s="66">
        <v>42.55</v>
      </c>
      <c r="G13" s="64">
        <v>37</v>
      </c>
      <c r="H13" s="64">
        <v>46</v>
      </c>
      <c r="I13" s="64">
        <f>SUM(G13:H13)</f>
        <v>83</v>
      </c>
      <c r="J13" s="69">
        <f>I13*IF(F13&gt;125.441,1,10^(1.056683941*LOG(F13/125.441)^2))</f>
        <v>141.91974818991588</v>
      </c>
      <c r="K13" s="68">
        <v>40811</v>
      </c>
      <c r="L13" s="26" t="s">
        <v>73</v>
      </c>
      <c r="M13" s="27">
        <f>IF(D13&gt;=1992,I13/VLOOKUP(B13,Standards!$J$3:$Q$11,5),"---")</f>
        <v>0.7280701754385965</v>
      </c>
    </row>
    <row r="14" spans="1:13" ht="11.25">
      <c r="A14" s="23" t="str">
        <f>IF(2012-D14&lt;18,"Yth",IF(2012-D14&lt;21,"Jun","Sen"))</f>
        <v>Yth</v>
      </c>
      <c r="B14" s="7">
        <f>VLOOKUP(F14,Women__weight_categories,2,TRUE)</f>
        <v>58</v>
      </c>
      <c r="C14" s="26" t="s">
        <v>98</v>
      </c>
      <c r="D14" s="64">
        <v>1997</v>
      </c>
      <c r="E14" s="65" t="s">
        <v>32</v>
      </c>
      <c r="F14" s="66">
        <v>55.5</v>
      </c>
      <c r="G14" s="64">
        <v>38</v>
      </c>
      <c r="H14" s="64">
        <v>56</v>
      </c>
      <c r="I14" s="64">
        <f>SUM(G14:H14)</f>
        <v>94</v>
      </c>
      <c r="J14" s="69">
        <f>I14*IF(F14&gt;125.441,1,10^(1.056683941*LOG(F14/125.441)^2))</f>
        <v>127.54308006338567</v>
      </c>
      <c r="K14" s="68">
        <v>40809</v>
      </c>
      <c r="L14" s="26" t="s">
        <v>95</v>
      </c>
      <c r="M14" s="27">
        <f>IF(D14&gt;=1992,I14/VLOOKUP(B14,Standards!$J$3:$Q$11,5),"---")</f>
        <v>0.7121212121212122</v>
      </c>
    </row>
    <row r="15" spans="1:13" ht="11.25">
      <c r="A15" s="23" t="str">
        <f>IF(2012-D15&lt;18,"Yth",IF(2012-D15&lt;21,"Jun","Sen"))</f>
        <v>Jun</v>
      </c>
      <c r="B15" s="7" t="str">
        <f>VLOOKUP(F15,Women__weight_categories,2,TRUE)</f>
        <v>75+</v>
      </c>
      <c r="C15" s="26" t="s">
        <v>103</v>
      </c>
      <c r="D15" s="64">
        <v>1994</v>
      </c>
      <c r="E15" s="65" t="s">
        <v>9</v>
      </c>
      <c r="F15" s="66">
        <v>76.9</v>
      </c>
      <c r="G15" s="64">
        <v>47</v>
      </c>
      <c r="H15" s="64">
        <v>65</v>
      </c>
      <c r="I15" s="64">
        <f>SUM(G15:H15)</f>
        <v>112</v>
      </c>
      <c r="J15" s="69">
        <f>I15*IF(F15&gt;125.441,1,10^(1.056683941*LOG(F15/125.441)^2))</f>
        <v>125.00857959545716</v>
      </c>
      <c r="K15" s="68">
        <v>40811</v>
      </c>
      <c r="L15" s="26" t="s">
        <v>73</v>
      </c>
      <c r="M15" s="27">
        <f>IF(D15&gt;=1992,I15/VLOOKUP(B15,Standards!$J$3:$Q$11,5),"---")</f>
        <v>0.6706586826347305</v>
      </c>
    </row>
    <row r="16" spans="1:13" ht="11.25">
      <c r="A16" s="23" t="str">
        <f>IF(2012-D16&lt;18,"Yth",IF(2012-D16&lt;21,"Jun","Sen"))</f>
        <v>Yth</v>
      </c>
      <c r="B16" s="7">
        <f>VLOOKUP(F16,Women__weight_categories,2,TRUE)</f>
        <v>53</v>
      </c>
      <c r="C16" s="26" t="s">
        <v>49</v>
      </c>
      <c r="D16" s="64">
        <v>1997</v>
      </c>
      <c r="E16" s="65" t="s">
        <v>46</v>
      </c>
      <c r="F16" s="66">
        <v>53</v>
      </c>
      <c r="G16" s="64">
        <v>36</v>
      </c>
      <c r="H16" s="64">
        <v>49</v>
      </c>
      <c r="I16" s="64">
        <f>SUM(G16:H16)</f>
        <v>85</v>
      </c>
      <c r="J16" s="69">
        <f>I16*IF(F16&gt;125.441,1,10^(1.056683941*LOG(F16/125.441)^2))</f>
        <v>119.49590322393125</v>
      </c>
      <c r="K16" s="68">
        <v>40811</v>
      </c>
      <c r="L16" s="26" t="s">
        <v>73</v>
      </c>
      <c r="M16" s="27">
        <f>IF(D16&gt;=1992,I16/VLOOKUP(B16,Standards!$J$3:$Q$11,5),"---")</f>
        <v>0.6692913385826772</v>
      </c>
    </row>
    <row r="17" spans="1:13" ht="11.25">
      <c r="A17" s="23" t="str">
        <f>IF(2012-D17&lt;18,"Yth",IF(2012-D17&lt;21,"Jun","Sen"))</f>
        <v>Yth</v>
      </c>
      <c r="B17" s="7">
        <f>VLOOKUP(F17,Women__weight_categories,2,TRUE)</f>
        <v>53</v>
      </c>
      <c r="C17" s="26" t="s">
        <v>49</v>
      </c>
      <c r="D17" s="64">
        <v>1997</v>
      </c>
      <c r="E17" s="65" t="s">
        <v>46</v>
      </c>
      <c r="F17" s="66">
        <v>52.65</v>
      </c>
      <c r="G17" s="64">
        <v>37</v>
      </c>
      <c r="H17" s="64">
        <v>47</v>
      </c>
      <c r="I17" s="64">
        <f>SUM(G17:H17)</f>
        <v>84</v>
      </c>
      <c r="J17" s="69">
        <f>I17*IF(F17&gt;125.441,1,10^(1.056683941*LOG(F17/125.441)^2))</f>
        <v>118.71278432474784</v>
      </c>
      <c r="K17" s="68">
        <v>40809</v>
      </c>
      <c r="L17" s="26" t="s">
        <v>95</v>
      </c>
      <c r="M17" s="27">
        <f>IF(D17&gt;=1992,I17/VLOOKUP(B17,Standards!$J$3:$Q$11,5),"---")</f>
        <v>0.6614173228346457</v>
      </c>
    </row>
    <row r="18" spans="1:13" ht="11.25">
      <c r="A18" s="23" t="str">
        <f>IF(2012-D18&lt;18,"Yth",IF(2012-D18&lt;21,"Jun","Sen"))</f>
        <v>Yth</v>
      </c>
      <c r="B18" s="7">
        <f>VLOOKUP(F18,Women__weight_categories,2,TRUE)</f>
        <v>48</v>
      </c>
      <c r="C18" s="26" t="s">
        <v>97</v>
      </c>
      <c r="D18" s="64">
        <v>1997</v>
      </c>
      <c r="E18" s="65" t="s">
        <v>9</v>
      </c>
      <c r="F18" s="66">
        <v>46.4</v>
      </c>
      <c r="G18" s="64">
        <v>30</v>
      </c>
      <c r="H18" s="64">
        <v>36</v>
      </c>
      <c r="I18" s="64">
        <f>SUM(G18:H18)</f>
        <v>66</v>
      </c>
      <c r="J18" s="69">
        <f>I18*IF(F18&gt;125.441,1,10^(1.056683941*LOG(F18/125.441)^2))</f>
        <v>103.91419603878613</v>
      </c>
      <c r="K18" s="68">
        <v>40809</v>
      </c>
      <c r="L18" s="26" t="s">
        <v>95</v>
      </c>
      <c r="M18" s="27">
        <f>IF(D18&gt;=1992,I18/VLOOKUP(B18,Standards!$J$3:$Q$11,5),"---")</f>
        <v>0.5789473684210527</v>
      </c>
    </row>
    <row r="19" spans="1:13" ht="11.25">
      <c r="A19" s="23" t="str">
        <f>IF(2012-D19&lt;18,"Yth",IF(2012-D19&lt;21,"Jun","Sen"))</f>
        <v>Yth</v>
      </c>
      <c r="B19" s="7">
        <f>VLOOKUP(F19,Women__weight_categories,2,TRUE)</f>
        <v>44</v>
      </c>
      <c r="C19" s="26" t="s">
        <v>94</v>
      </c>
      <c r="D19" s="64">
        <v>1997</v>
      </c>
      <c r="E19" s="65" t="s">
        <v>9</v>
      </c>
      <c r="F19" s="66">
        <v>39.9</v>
      </c>
      <c r="G19" s="64">
        <v>25</v>
      </c>
      <c r="H19" s="64">
        <v>38</v>
      </c>
      <c r="I19" s="64">
        <f>SUM(G19:H19)</f>
        <v>63</v>
      </c>
      <c r="J19" s="69">
        <f>I19*IF(F19&gt;125.441,1,10^(1.056683941*LOG(F19/125.441)^2))</f>
        <v>115.03800087152827</v>
      </c>
      <c r="K19" s="68">
        <v>40809</v>
      </c>
      <c r="L19" s="26" t="s">
        <v>95</v>
      </c>
      <c r="M19" s="27">
        <f>IF(D19&gt;=1992,I19/VLOOKUP(B19,Standards!$J$3:$Q$11,5),"---")</f>
        <v>0.5526315789473685</v>
      </c>
    </row>
    <row r="20" spans="1:13" ht="11.25">
      <c r="A20" s="23" t="str">
        <f>IF(2012-D20&lt;18,"Yth",IF(2012-D20&lt;21,"Jun","Sen"))</f>
        <v>Yth</v>
      </c>
      <c r="B20" s="7">
        <f>VLOOKUP(F20,Women__weight_categories,2,TRUE)</f>
        <v>44</v>
      </c>
      <c r="C20" s="26" t="s">
        <v>96</v>
      </c>
      <c r="D20" s="64">
        <v>1999</v>
      </c>
      <c r="E20" s="65" t="s">
        <v>34</v>
      </c>
      <c r="F20" s="66">
        <v>44</v>
      </c>
      <c r="G20" s="64">
        <v>28</v>
      </c>
      <c r="H20" s="64">
        <v>34</v>
      </c>
      <c r="I20" s="64">
        <f>SUM(G20:H20)</f>
        <v>62</v>
      </c>
      <c r="J20" s="69">
        <f>I20*IF(F20&gt;125.441,1,10^(1.056683941*LOG(F20/125.441)^2))</f>
        <v>102.59802943173818</v>
      </c>
      <c r="K20" s="68">
        <v>40809</v>
      </c>
      <c r="L20" s="26" t="s">
        <v>95</v>
      </c>
      <c r="M20" s="27">
        <f>IF(D20&gt;=1992,I20/VLOOKUP(B20,Standards!$J$3:$Q$11,5),"---")</f>
        <v>0.543859649122807</v>
      </c>
    </row>
    <row r="21" spans="1:13" ht="11.25">
      <c r="A21" s="23" t="str">
        <f>IF(2012-D21&lt;18,"Yth",IF(2012-D21&lt;21,"Jun","Sen"))</f>
        <v>Yth</v>
      </c>
      <c r="B21" s="7">
        <f>VLOOKUP(F21,Women__weight_categories,2,TRUE)</f>
        <v>63</v>
      </c>
      <c r="C21" s="26" t="s">
        <v>99</v>
      </c>
      <c r="D21" s="64">
        <v>1998</v>
      </c>
      <c r="E21" s="65" t="s">
        <v>32</v>
      </c>
      <c r="F21" s="66">
        <v>59.35</v>
      </c>
      <c r="G21" s="64">
        <v>34</v>
      </c>
      <c r="H21" s="64">
        <v>45</v>
      </c>
      <c r="I21" s="64">
        <f>SUM(G21:H21)</f>
        <v>79</v>
      </c>
      <c r="J21" s="69">
        <f>I21*IF(F21&gt;125.441,1,10^(1.056683941*LOG(F21/125.441)^2))</f>
        <v>102.15326094162822</v>
      </c>
      <c r="K21" s="68">
        <v>40809</v>
      </c>
      <c r="L21" s="26" t="s">
        <v>95</v>
      </c>
      <c r="M21" s="27">
        <f>IF(D21&gt;=1992,I21/VLOOKUP(B21,Standards!$J$3:$Q$11,5),"---")</f>
        <v>0.541095890410959</v>
      </c>
    </row>
    <row r="22" spans="1:13" ht="11.25">
      <c r="A22" s="23" t="str">
        <f>IF(2012-D22&lt;18,"Yth",IF(2012-D22&lt;21,"Jun","Sen"))</f>
        <v>Yth</v>
      </c>
      <c r="B22" s="7">
        <f>VLOOKUP(F22,Women__weight_categories,2,TRUE)</f>
        <v>75</v>
      </c>
      <c r="C22" s="26" t="s">
        <v>101</v>
      </c>
      <c r="D22" s="64">
        <v>1997</v>
      </c>
      <c r="E22" s="65" t="s">
        <v>34</v>
      </c>
      <c r="F22" s="66">
        <v>74.95</v>
      </c>
      <c r="G22" s="64">
        <v>29</v>
      </c>
      <c r="H22" s="64">
        <v>48</v>
      </c>
      <c r="I22" s="64">
        <f>SUM(G22:H22)</f>
        <v>77</v>
      </c>
      <c r="J22" s="69">
        <f>I22*IF(F22&gt;125.441,1,10^(1.056683941*LOG(F22/125.441)^2))</f>
        <v>86.96685939409483</v>
      </c>
      <c r="K22" s="68">
        <v>40809</v>
      </c>
      <c r="L22" s="26" t="s">
        <v>95</v>
      </c>
      <c r="M22" s="27">
        <f>IF(D22&gt;=1992,I22/VLOOKUP(B22,Standards!$J$3:$Q$11,5),"---")</f>
        <v>0.5099337748344371</v>
      </c>
    </row>
    <row r="23" spans="1:13" ht="11.25">
      <c r="A23" s="23" t="str">
        <f>IF(2012-D23&lt;18,"Yth",IF(2012-D23&lt;21,"Jun","Sen"))</f>
        <v>Yth</v>
      </c>
      <c r="B23" s="7">
        <f>VLOOKUP(F23,Women__weight_categories,2,TRUE)</f>
        <v>63</v>
      </c>
      <c r="C23" s="26" t="s">
        <v>41</v>
      </c>
      <c r="D23" s="64">
        <v>1996</v>
      </c>
      <c r="E23" s="65" t="s">
        <v>9</v>
      </c>
      <c r="F23" s="66">
        <v>58.9</v>
      </c>
      <c r="G23" s="64">
        <v>31</v>
      </c>
      <c r="H23" s="64">
        <v>36</v>
      </c>
      <c r="I23" s="64">
        <f>SUM(G23:H23)</f>
        <v>67</v>
      </c>
      <c r="J23" s="69">
        <f>I23*IF(F23&gt;125.441,1,10^(1.056683941*LOG(F23/125.441)^2))</f>
        <v>87.09273682698142</v>
      </c>
      <c r="K23" s="68">
        <v>40809</v>
      </c>
      <c r="L23" s="26" t="s">
        <v>95</v>
      </c>
      <c r="M23" s="27">
        <f>IF(D23&gt;=1992,I23/VLOOKUP(B23,Standards!$J$3:$Q$11,5),"---")</f>
        <v>0.4589041095890411</v>
      </c>
    </row>
    <row r="24" spans="1:13" ht="11.25">
      <c r="A24" s="23" t="str">
        <f>IF(2012-D24&lt;18,"Yth",IF(2012-D24&lt;21,"Jun","Sen"))</f>
        <v>Yth</v>
      </c>
      <c r="B24" s="7" t="str">
        <f>VLOOKUP(F24,Women__weight_categories,2,TRUE)</f>
        <v>75+</v>
      </c>
      <c r="C24" s="26" t="s">
        <v>102</v>
      </c>
      <c r="D24" s="64">
        <v>1998</v>
      </c>
      <c r="E24" s="65" t="s">
        <v>30</v>
      </c>
      <c r="F24" s="66">
        <v>94.5</v>
      </c>
      <c r="G24" s="64">
        <v>28</v>
      </c>
      <c r="H24" s="64">
        <v>34</v>
      </c>
      <c r="I24" s="64">
        <f>SUM(G24:H24)</f>
        <v>62</v>
      </c>
      <c r="J24" s="69">
        <f>I24*IF(F24&gt;125.441,1,10^(1.056683941*LOG(F24/125.441)^2))</f>
        <v>64.32506921792165</v>
      </c>
      <c r="K24" s="68">
        <v>40809</v>
      </c>
      <c r="L24" s="26" t="s">
        <v>95</v>
      </c>
      <c r="M24" s="27">
        <f>IF(D24&gt;=1992,I24/VLOOKUP(B24,Standards!$J$3:$Q$11,5),"---")</f>
        <v>0.3712574850299401</v>
      </c>
    </row>
    <row r="25" spans="1:12" ht="11.25">
      <c r="A25" s="23"/>
      <c r="B25" s="7"/>
      <c r="C25" s="60"/>
      <c r="D25" s="61"/>
      <c r="E25" s="61"/>
      <c r="F25" s="61"/>
      <c r="G25" s="61"/>
      <c r="H25" s="61"/>
      <c r="I25" s="61"/>
      <c r="J25" s="43"/>
      <c r="K25" s="32"/>
      <c r="L25" s="33"/>
    </row>
    <row r="26" spans="1:12" ht="11.25">
      <c r="A26" s="23"/>
      <c r="B26" s="7"/>
      <c r="C26" s="33"/>
      <c r="D26" s="33"/>
      <c r="E26" s="33"/>
      <c r="F26" s="38"/>
      <c r="G26" s="30"/>
      <c r="H26" s="30"/>
      <c r="I26" s="30"/>
      <c r="J26" s="33"/>
      <c r="K26" s="32"/>
      <c r="L26" s="33"/>
    </row>
    <row r="27" spans="1:12" ht="11.25">
      <c r="A27" s="23"/>
      <c r="B27" s="7"/>
      <c r="C27" s="60"/>
      <c r="D27" s="61"/>
      <c r="E27" s="61"/>
      <c r="F27" s="61"/>
      <c r="G27" s="61"/>
      <c r="H27" s="61"/>
      <c r="I27" s="61"/>
      <c r="J27" s="43"/>
      <c r="K27" s="32"/>
      <c r="L27" s="33"/>
    </row>
    <row r="28" spans="1:12" ht="11.25">
      <c r="A28" s="23"/>
      <c r="B28" s="7"/>
      <c r="C28" s="33"/>
      <c r="D28" s="33"/>
      <c r="E28" s="33"/>
      <c r="F28" s="38"/>
      <c r="G28" s="30"/>
      <c r="H28" s="30"/>
      <c r="I28" s="30"/>
      <c r="J28" s="33"/>
      <c r="K28" s="32"/>
      <c r="L28" s="33"/>
    </row>
    <row r="29" spans="1:12" ht="11.25">
      <c r="A29" s="23"/>
      <c r="B29" s="7"/>
      <c r="C29" s="29"/>
      <c r="D29" s="30"/>
      <c r="E29" s="30"/>
      <c r="F29" s="38"/>
      <c r="G29" s="31"/>
      <c r="H29" s="31"/>
      <c r="I29" s="30"/>
      <c r="J29" s="43"/>
      <c r="K29" s="32"/>
      <c r="L29" s="33"/>
    </row>
    <row r="30" spans="1:12" ht="11.25">
      <c r="A30" s="23"/>
      <c r="B30" s="7"/>
      <c r="C30" s="60"/>
      <c r="D30" s="61"/>
      <c r="E30" s="61"/>
      <c r="F30" s="61"/>
      <c r="G30" s="61"/>
      <c r="H30" s="61"/>
      <c r="I30" s="61"/>
      <c r="J30" s="43"/>
      <c r="K30" s="32"/>
      <c r="L30" s="33"/>
    </row>
    <row r="31" spans="1:12" ht="11.25">
      <c r="A31" s="23"/>
      <c r="B31" s="7"/>
      <c r="C31" s="60"/>
      <c r="D31" s="61"/>
      <c r="E31" s="61"/>
      <c r="F31" s="61"/>
      <c r="G31" s="61"/>
      <c r="H31" s="61"/>
      <c r="I31" s="61"/>
      <c r="J31" s="43"/>
      <c r="K31" s="32"/>
      <c r="L31" s="33"/>
    </row>
    <row r="32" spans="1:12" ht="11.25">
      <c r="A32" s="23"/>
      <c r="B32" s="7"/>
      <c r="C32" s="60"/>
      <c r="D32" s="61"/>
      <c r="E32" s="61"/>
      <c r="F32" s="61"/>
      <c r="G32" s="61"/>
      <c r="H32" s="61"/>
      <c r="I32" s="61"/>
      <c r="J32" s="43"/>
      <c r="K32" s="32"/>
      <c r="L32" s="33"/>
    </row>
    <row r="33" spans="1:12" ht="11.25">
      <c r="A33" s="23"/>
      <c r="B33" s="7"/>
      <c r="C33" s="34"/>
      <c r="D33" s="35"/>
      <c r="E33" s="36"/>
      <c r="F33" s="39"/>
      <c r="G33" s="37"/>
      <c r="H33" s="37"/>
      <c r="I33" s="37"/>
      <c r="J33" s="43"/>
      <c r="K33" s="32"/>
      <c r="L33" s="33"/>
    </row>
    <row r="34" spans="1:12" ht="11.25">
      <c r="A34" s="23"/>
      <c r="B34" s="7"/>
      <c r="C34" s="60"/>
      <c r="D34" s="61"/>
      <c r="E34" s="61"/>
      <c r="F34" s="61"/>
      <c r="G34" s="61"/>
      <c r="H34" s="61"/>
      <c r="I34" s="61"/>
      <c r="J34" s="43"/>
      <c r="K34" s="32"/>
      <c r="L34" s="33"/>
    </row>
    <row r="35" spans="1:12" ht="11.25">
      <c r="A35" s="23"/>
      <c r="B35" s="7"/>
      <c r="C35" s="29"/>
      <c r="D35" s="30"/>
      <c r="E35" s="30"/>
      <c r="F35" s="38"/>
      <c r="G35" s="31"/>
      <c r="H35" s="31"/>
      <c r="I35" s="30"/>
      <c r="J35" s="43"/>
      <c r="K35" s="32"/>
      <c r="L35" s="33"/>
    </row>
    <row r="36" spans="1:12" ht="11.25">
      <c r="A36" s="23"/>
      <c r="B36" s="7"/>
      <c r="C36" s="29"/>
      <c r="D36" s="30"/>
      <c r="E36" s="30"/>
      <c r="F36" s="38"/>
      <c r="G36" s="31"/>
      <c r="H36" s="31"/>
      <c r="I36" s="30"/>
      <c r="J36" s="43"/>
      <c r="K36" s="32"/>
      <c r="L36" s="33"/>
    </row>
    <row r="37" spans="2:12" ht="11.2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</sheetData>
  <sheetProtection/>
  <conditionalFormatting sqref="A2:A36">
    <cfRule type="containsText" priority="3" dxfId="1" operator="containsText" text="Yth">
      <formula>NOT(ISERROR(SEARCH("Yth",A2)))</formula>
    </cfRule>
    <cfRule type="containsText" priority="4" dxfId="0" operator="containsText" text="Jun">
      <formula>NOT(ISERROR(SEARCH("Jun",A2)))</formula>
    </cfRule>
  </conditionalFormatting>
  <conditionalFormatting sqref="A2:A24">
    <cfRule type="containsText" priority="1" dxfId="1" operator="containsText" text="Yth">
      <formula>NOT(ISERROR(SEARCH("Yth",A2)))</formula>
    </cfRule>
    <cfRule type="containsText" priority="2" dxfId="0" operator="containsText" text="Jun">
      <formula>NOT(ISERROR(SEARCH("Jun",A2)))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140625" style="24" bestFit="1" customWidth="1"/>
    <col min="2" max="2" width="3.57421875" style="24" bestFit="1" customWidth="1"/>
    <col min="3" max="3" width="16.8515625" style="24" bestFit="1" customWidth="1"/>
    <col min="4" max="4" width="6.57421875" style="24" customWidth="1"/>
    <col min="5" max="5" width="4.57421875" style="24" bestFit="1" customWidth="1"/>
    <col min="6" max="6" width="6.7109375" style="24" bestFit="1" customWidth="1"/>
    <col min="7" max="7" width="6.00390625" style="24" bestFit="1" customWidth="1"/>
    <col min="8" max="8" width="5.7109375" style="24" bestFit="1" customWidth="1"/>
    <col min="9" max="9" width="4.421875" style="24" bestFit="1" customWidth="1"/>
    <col min="10" max="10" width="6.57421875" style="24" bestFit="1" customWidth="1"/>
    <col min="11" max="11" width="10.140625" style="24" bestFit="1" customWidth="1"/>
    <col min="12" max="12" width="33.00390625" style="24" bestFit="1" customWidth="1"/>
    <col min="13" max="13" width="9.140625" style="24" customWidth="1"/>
    <col min="14" max="14" width="12.57421875" style="24" bestFit="1" customWidth="1"/>
    <col min="15" max="16384" width="9.140625" style="24" customWidth="1"/>
  </cols>
  <sheetData>
    <row r="1" spans="1:14" s="3" customFormat="1" ht="11.25">
      <c r="A1" s="28" t="s">
        <v>4</v>
      </c>
      <c r="B1" s="28" t="s">
        <v>22</v>
      </c>
      <c r="C1" s="3" t="s">
        <v>0</v>
      </c>
      <c r="D1" s="4" t="s">
        <v>2</v>
      </c>
      <c r="E1" s="3" t="s">
        <v>10</v>
      </c>
      <c r="F1" s="5" t="s">
        <v>11</v>
      </c>
      <c r="G1" s="6" t="s">
        <v>3</v>
      </c>
      <c r="H1" s="6" t="s">
        <v>12</v>
      </c>
      <c r="I1" s="6" t="s">
        <v>1</v>
      </c>
      <c r="J1" s="5" t="s">
        <v>13</v>
      </c>
      <c r="K1" s="3" t="s">
        <v>14</v>
      </c>
      <c r="L1" s="3" t="s">
        <v>15</v>
      </c>
      <c r="M1" s="7" t="s">
        <v>20</v>
      </c>
      <c r="N1" s="7" t="s">
        <v>36</v>
      </c>
    </row>
    <row r="2" spans="1:14" ht="11.25">
      <c r="A2" s="23" t="str">
        <f>IF(2012-D2&lt;18,"Yth",IF(2012-D2&lt;21,"Jun","Sen"))</f>
        <v>Yth</v>
      </c>
      <c r="B2" s="7" t="str">
        <f>VLOOKUP(F2,Women__weight_categories,2,TRUE)</f>
        <v>75+</v>
      </c>
      <c r="C2" s="26" t="s">
        <v>50</v>
      </c>
      <c r="D2" s="64">
        <v>1996</v>
      </c>
      <c r="E2" s="65" t="s">
        <v>46</v>
      </c>
      <c r="F2" s="66">
        <v>93.4</v>
      </c>
      <c r="G2" s="64">
        <v>58</v>
      </c>
      <c r="H2" s="64">
        <v>79</v>
      </c>
      <c r="I2" s="64">
        <f>SUM(G2:H2)</f>
        <v>137</v>
      </c>
      <c r="J2" s="69">
        <f>I2*IF(F2&gt;125.441,1,10^(1.056683941*LOG(F2/125.441)^2))</f>
        <v>142.57991244836123</v>
      </c>
      <c r="K2" s="68">
        <v>40811</v>
      </c>
      <c r="L2" s="26" t="s">
        <v>73</v>
      </c>
      <c r="M2" s="27">
        <f>IF(D2&gt;=1995,I2/VLOOKUP(B2,Standards!$J$3:$Q$11,7),"---")</f>
        <v>1.1229508196721312</v>
      </c>
      <c r="N2" s="25">
        <f>IF((D2&gt;=1995)*AND(F2&gt;69),(I2/Standards!$P$10),"---")</f>
        <v>1.1810344827586208</v>
      </c>
    </row>
    <row r="3" spans="1:14" ht="11.25">
      <c r="A3" s="23" t="str">
        <f>IF(2012-D3&lt;18,"Yth",IF(2012-D3&lt;21,"Jun","Sen"))</f>
        <v>Yth</v>
      </c>
      <c r="B3" s="7">
        <f>VLOOKUP(F3,Women__weight_categories,2,TRUE)</f>
        <v>58</v>
      </c>
      <c r="C3" s="26" t="s">
        <v>58</v>
      </c>
      <c r="D3" s="64">
        <v>1997</v>
      </c>
      <c r="E3" s="65" t="s">
        <v>34</v>
      </c>
      <c r="F3" s="66">
        <v>56.4</v>
      </c>
      <c r="G3" s="64">
        <v>46</v>
      </c>
      <c r="H3" s="64">
        <v>61</v>
      </c>
      <c r="I3" s="64">
        <f>SUM(G3:H3)</f>
        <v>107</v>
      </c>
      <c r="J3" s="69">
        <f>I3*IF(F3&gt;125.441,1,10^(1.056683941*LOG(F3/125.441)^2))</f>
        <v>143.46160709896765</v>
      </c>
      <c r="K3" s="68">
        <v>40811</v>
      </c>
      <c r="L3" s="26" t="s">
        <v>73</v>
      </c>
      <c r="M3" s="27">
        <f>IF(D3&gt;=1995,I3/VLOOKUP(B3,Standards!$J$3:$Q$11,7),"---")</f>
        <v>1.1030927835051547</v>
      </c>
      <c r="N3" s="25" t="str">
        <f>IF((D3&gt;=1995)*AND(F3&gt;69),(I3/Standards!$P$10),"---")</f>
        <v>---</v>
      </c>
    </row>
    <row r="4" spans="1:14" ht="11.25">
      <c r="A4" s="23" t="str">
        <f>IF(2012-D4&lt;18,"Yth",IF(2012-D4&lt;21,"Jun","Sen"))</f>
        <v>Yth</v>
      </c>
      <c r="B4" s="7">
        <f>VLOOKUP(F4,Women__weight_categories,2,TRUE)</f>
        <v>44</v>
      </c>
      <c r="C4" s="26" t="s">
        <v>57</v>
      </c>
      <c r="D4" s="64">
        <v>1995</v>
      </c>
      <c r="E4" s="65" t="s">
        <v>34</v>
      </c>
      <c r="F4" s="66">
        <v>42.55</v>
      </c>
      <c r="G4" s="64">
        <v>37</v>
      </c>
      <c r="H4" s="64">
        <v>46</v>
      </c>
      <c r="I4" s="64">
        <f>SUM(G4:H4)</f>
        <v>83</v>
      </c>
      <c r="J4" s="69">
        <f>I4*IF(F4&gt;125.441,1,10^(1.056683941*LOG(F4/125.441)^2))</f>
        <v>141.91974818991588</v>
      </c>
      <c r="K4" s="68">
        <v>40811</v>
      </c>
      <c r="L4" s="26" t="s">
        <v>73</v>
      </c>
      <c r="M4" s="27">
        <f>IF(D4&gt;=1995,I4/VLOOKUP(B4,Standards!$J$3:$Q$11,7),"---")</f>
        <v>1.0921052631578947</v>
      </c>
      <c r="N4" s="25" t="str">
        <f>IF((D4&gt;=1995)*AND(F4&gt;69),(I4/Standards!$P$10),"---")</f>
        <v>---</v>
      </c>
    </row>
    <row r="5" spans="1:14" ht="11.25">
      <c r="A5" s="23" t="str">
        <f>IF(2012-D5&lt;18,"Yth",IF(2012-D5&lt;21,"Jun","Sen"))</f>
        <v>Yth</v>
      </c>
      <c r="B5" s="7">
        <f>VLOOKUP(F5,Women__weight_categories,2,TRUE)</f>
        <v>53</v>
      </c>
      <c r="C5" s="26" t="s">
        <v>66</v>
      </c>
      <c r="D5" s="64">
        <v>1999</v>
      </c>
      <c r="E5" s="65" t="s">
        <v>34</v>
      </c>
      <c r="F5" s="66">
        <v>50.9</v>
      </c>
      <c r="G5" s="64">
        <v>43</v>
      </c>
      <c r="H5" s="64">
        <v>57</v>
      </c>
      <c r="I5" s="64">
        <f>SUM(G5:H5)</f>
        <v>100</v>
      </c>
      <c r="J5" s="69">
        <f>I5*IF(F5&gt;125.441,1,10^(1.056683941*LOG(F5/125.441)^2))</f>
        <v>145.25926049532376</v>
      </c>
      <c r="K5" s="68">
        <v>40809</v>
      </c>
      <c r="L5" s="26" t="s">
        <v>95</v>
      </c>
      <c r="M5" s="27">
        <f>IF(D5&gt;=1995,I5/VLOOKUP(B5,Standards!$J$3:$Q$11,7),"---")</f>
        <v>1.075268817204301</v>
      </c>
      <c r="N5" s="25" t="str">
        <f>IF((D5&gt;=1995)*AND(F5&gt;69),(I5/Standards!$P$10),"---")</f>
        <v>---</v>
      </c>
    </row>
    <row r="6" spans="1:14" ht="11.25">
      <c r="A6" s="23" t="str">
        <f>IF(2012-D6&lt;18,"Yth",IF(2012-D6&lt;21,"Jun","Sen"))</f>
        <v>Yth</v>
      </c>
      <c r="B6" s="7" t="str">
        <f>VLOOKUP(F6,Women__weight_categories,2,TRUE)</f>
        <v>75+</v>
      </c>
      <c r="C6" s="26" t="s">
        <v>50</v>
      </c>
      <c r="D6" s="64">
        <v>1996</v>
      </c>
      <c r="E6" s="65" t="s">
        <v>46</v>
      </c>
      <c r="F6" s="66">
        <v>92.6</v>
      </c>
      <c r="G6" s="64">
        <v>55</v>
      </c>
      <c r="H6" s="64">
        <v>76</v>
      </c>
      <c r="I6" s="64">
        <f>SUM(G6:H6)</f>
        <v>131</v>
      </c>
      <c r="J6" s="69">
        <f>I6*IF(F6&gt;125.441,1,10^(1.056683941*LOG(F6/125.441)^2))</f>
        <v>136.6580285083945</v>
      </c>
      <c r="K6" s="68">
        <v>40809</v>
      </c>
      <c r="L6" s="26" t="s">
        <v>95</v>
      </c>
      <c r="M6" s="27">
        <f>IF(D6&gt;=1995,I6/VLOOKUP(B6,Standards!$J$3:$Q$11,7),"---")</f>
        <v>1.0737704918032787</v>
      </c>
      <c r="N6" s="25">
        <f>IF((D6&gt;=1995)*AND(F6&gt;69),(I6/Standards!$P$10),"---")</f>
        <v>1.1293103448275863</v>
      </c>
    </row>
    <row r="7" spans="1:14" ht="11.25">
      <c r="A7" s="23" t="str">
        <f>IF(2012-D7&lt;18,"Yth",IF(2012-D7&lt;21,"Jun","Sen"))</f>
        <v>Yth</v>
      </c>
      <c r="B7" s="7">
        <f>VLOOKUP(F7,Women__weight_categories,2,TRUE)</f>
        <v>69</v>
      </c>
      <c r="C7" s="26" t="s">
        <v>48</v>
      </c>
      <c r="D7" s="64">
        <v>1995</v>
      </c>
      <c r="E7" s="65" t="s">
        <v>46</v>
      </c>
      <c r="F7" s="66">
        <v>67.3</v>
      </c>
      <c r="G7" s="64">
        <v>51</v>
      </c>
      <c r="H7" s="64">
        <v>67</v>
      </c>
      <c r="I7" s="64">
        <f>SUM(G7:H7)</f>
        <v>118</v>
      </c>
      <c r="J7" s="69">
        <f>I7*IF(F7&gt;125.441,1,10^(1.056683941*LOG(F7/125.441)^2))</f>
        <v>140.97972148642435</v>
      </c>
      <c r="K7" s="68">
        <v>40811</v>
      </c>
      <c r="L7" s="26" t="s">
        <v>73</v>
      </c>
      <c r="M7" s="27">
        <f>IF(D7&gt;=1995,I7/VLOOKUP(B7,Standards!$J$3:$Q$11,7),"---")</f>
        <v>1.0727272727272728</v>
      </c>
      <c r="N7" s="25" t="str">
        <f>IF((D7&gt;=1995)*AND(F7&gt;69),(I7/Standards!$P$10),"---")</f>
        <v>---</v>
      </c>
    </row>
    <row r="8" spans="1:14" ht="11.25">
      <c r="A8" s="23" t="str">
        <f>IF(2012-D8&lt;18,"Yth",IF(2012-D8&lt;21,"Jun","Sen"))</f>
        <v>Yth</v>
      </c>
      <c r="B8" s="7">
        <f>VLOOKUP(F8,Women__weight_categories,2,TRUE)</f>
        <v>58</v>
      </c>
      <c r="C8" s="26" t="s">
        <v>58</v>
      </c>
      <c r="D8" s="64">
        <v>1997</v>
      </c>
      <c r="E8" s="65" t="s">
        <v>34</v>
      </c>
      <c r="F8" s="66">
        <v>56.55</v>
      </c>
      <c r="G8" s="64">
        <v>45</v>
      </c>
      <c r="H8" s="64">
        <v>59</v>
      </c>
      <c r="I8" s="64">
        <f>SUM(G8:H8)</f>
        <v>104</v>
      </c>
      <c r="J8" s="69">
        <f>I8*IF(F8&gt;125.441,1,10^(1.056683941*LOG(F8/125.441)^2))</f>
        <v>139.16831154060552</v>
      </c>
      <c r="K8" s="68">
        <v>40809</v>
      </c>
      <c r="L8" s="26" t="s">
        <v>95</v>
      </c>
      <c r="M8" s="27">
        <f>IF(D8&gt;=1995,I8/VLOOKUP(B8,Standards!$J$3:$Q$11,7),"---")</f>
        <v>1.0721649484536082</v>
      </c>
      <c r="N8" s="25" t="str">
        <f>IF((D8&gt;=1995)*AND(F8&gt;69),(I8/Standards!$P$10),"---")</f>
        <v>---</v>
      </c>
    </row>
    <row r="9" spans="1:14" ht="11.25">
      <c r="A9" s="23" t="str">
        <f>IF(2012-D9&lt;18,"Yth",IF(2012-D9&lt;21,"Jun","Sen"))</f>
        <v>Yth</v>
      </c>
      <c r="B9" s="7">
        <f>VLOOKUP(F9,Women__weight_categories,2,TRUE)</f>
        <v>63</v>
      </c>
      <c r="C9" s="26" t="s">
        <v>100</v>
      </c>
      <c r="D9" s="64">
        <v>1997</v>
      </c>
      <c r="E9" s="65" t="s">
        <v>30</v>
      </c>
      <c r="F9" s="66">
        <v>61.1</v>
      </c>
      <c r="G9" s="64">
        <v>47</v>
      </c>
      <c r="H9" s="64">
        <v>67</v>
      </c>
      <c r="I9" s="64">
        <f>SUM(G9:H9)</f>
        <v>114</v>
      </c>
      <c r="J9" s="69">
        <f>I9*IF(F9&gt;125.441,1,10^(1.056683941*LOG(F9/125.441)^2))</f>
        <v>144.55379111073478</v>
      </c>
      <c r="K9" s="68">
        <v>40809</v>
      </c>
      <c r="L9" s="26" t="s">
        <v>95</v>
      </c>
      <c r="M9" s="27">
        <f>IF(D9&gt;=1995,I9/VLOOKUP(B9,Standards!$J$3:$Q$11,7),"---")</f>
        <v>1.0654205607476634</v>
      </c>
      <c r="N9" s="25" t="str">
        <f>IF((D9&gt;=1995)*AND(F9&gt;69),(I9/Standards!$P$10),"---")</f>
        <v>---</v>
      </c>
    </row>
    <row r="10" spans="1:14" ht="11.25">
      <c r="A10" s="23" t="str">
        <f>IF(2012-D10&lt;18,"Yth",IF(2012-D10&lt;21,"Jun","Sen"))</f>
        <v>Yth</v>
      </c>
      <c r="B10" s="7">
        <f>VLOOKUP(F10,Women__weight_categories,2,TRUE)</f>
        <v>63</v>
      </c>
      <c r="C10" s="26" t="s">
        <v>100</v>
      </c>
      <c r="D10" s="64">
        <v>1997</v>
      </c>
      <c r="E10" s="65" t="s">
        <v>30</v>
      </c>
      <c r="F10" s="66">
        <v>62</v>
      </c>
      <c r="G10" s="64">
        <v>44</v>
      </c>
      <c r="H10" s="64">
        <v>67</v>
      </c>
      <c r="I10" s="64">
        <f>SUM(G10:H10)</f>
        <v>111</v>
      </c>
      <c r="J10" s="69">
        <f>I10*IF(F10&gt;125.441,1,10^(1.056683941*LOG(F10/125.441)^2))</f>
        <v>139.4111668367301</v>
      </c>
      <c r="K10" s="68">
        <v>40809</v>
      </c>
      <c r="L10" s="26" t="s">
        <v>73</v>
      </c>
      <c r="M10" s="27">
        <f>IF(D10&gt;=1995,I10/VLOOKUP(B10,Standards!$J$3:$Q$11,7),"---")</f>
        <v>1.0373831775700935</v>
      </c>
      <c r="N10" s="25" t="str">
        <f>IF((D10&gt;=1995)*AND(F10&gt;69),(I10/Standards!$P$10),"---")</f>
        <v>---</v>
      </c>
    </row>
    <row r="11" spans="1:14" ht="11.25">
      <c r="A11" s="23" t="str">
        <f>IF(2012-D11&lt;18,"Yth",IF(2012-D11&lt;21,"Jun","Sen"))</f>
        <v>Yth</v>
      </c>
      <c r="B11" s="7">
        <f>VLOOKUP(F11,Women__weight_categories,2,TRUE)</f>
        <v>58</v>
      </c>
      <c r="C11" s="26" t="s">
        <v>98</v>
      </c>
      <c r="D11" s="64">
        <v>1997</v>
      </c>
      <c r="E11" s="65" t="s">
        <v>32</v>
      </c>
      <c r="F11" s="66">
        <v>55.5</v>
      </c>
      <c r="G11" s="64">
        <v>38</v>
      </c>
      <c r="H11" s="64">
        <v>56</v>
      </c>
      <c r="I11" s="64">
        <f>SUM(G11:H11)</f>
        <v>94</v>
      </c>
      <c r="J11" s="69">
        <f>I11*IF(F11&gt;125.441,1,10^(1.056683941*LOG(F11/125.441)^2))</f>
        <v>127.54308006338567</v>
      </c>
      <c r="K11" s="68">
        <v>40809</v>
      </c>
      <c r="L11" s="26" t="s">
        <v>95</v>
      </c>
      <c r="M11" s="27">
        <f>IF(D11&gt;=1995,I11/VLOOKUP(B11,Standards!$J$3:$Q$11,7),"---")</f>
        <v>0.9690721649484536</v>
      </c>
      <c r="N11" s="25" t="str">
        <f>IF((D11&gt;=1995)*AND(F11&gt;69),(I11/Standards!$P$10),"---")</f>
        <v>---</v>
      </c>
    </row>
    <row r="12" spans="1:14" ht="11.25">
      <c r="A12" s="23" t="str">
        <f>IF(2012-D12&lt;18,"Yth",IF(2012-D12&lt;21,"Jun","Sen"))</f>
        <v>Yth</v>
      </c>
      <c r="B12" s="7">
        <f>VLOOKUP(F12,Women__weight_categories,2,TRUE)</f>
        <v>53</v>
      </c>
      <c r="C12" s="26" t="s">
        <v>49</v>
      </c>
      <c r="D12" s="64">
        <v>1997</v>
      </c>
      <c r="E12" s="65" t="s">
        <v>46</v>
      </c>
      <c r="F12" s="66">
        <v>53</v>
      </c>
      <c r="G12" s="64">
        <v>36</v>
      </c>
      <c r="H12" s="64">
        <v>49</v>
      </c>
      <c r="I12" s="64">
        <f>SUM(G12:H12)</f>
        <v>85</v>
      </c>
      <c r="J12" s="69">
        <f>I12*IF(F12&gt;125.441,1,10^(1.056683941*LOG(F12/125.441)^2))</f>
        <v>119.49590322393125</v>
      </c>
      <c r="K12" s="68">
        <v>40811</v>
      </c>
      <c r="L12" s="26" t="s">
        <v>73</v>
      </c>
      <c r="M12" s="27">
        <f>IF(D12&gt;=1995,I12/VLOOKUP(B12,Standards!$J$3:$Q$11,7),"---")</f>
        <v>0.9139784946236559</v>
      </c>
      <c r="N12" s="25" t="str">
        <f>IF((D12&gt;=1995)*AND(F12&gt;69),(I12/Standards!$P$10),"---")</f>
        <v>---</v>
      </c>
    </row>
    <row r="13" spans="1:14" ht="11.25">
      <c r="A13" s="23" t="str">
        <f>IF(2012-D13&lt;18,"Yth",IF(2012-D13&lt;21,"Jun","Sen"))</f>
        <v>Yth</v>
      </c>
      <c r="B13" s="7">
        <f>VLOOKUP(F13,Women__weight_categories,2,TRUE)</f>
        <v>53</v>
      </c>
      <c r="C13" s="26" t="s">
        <v>49</v>
      </c>
      <c r="D13" s="64">
        <v>1997</v>
      </c>
      <c r="E13" s="65" t="s">
        <v>46</v>
      </c>
      <c r="F13" s="66">
        <v>52.65</v>
      </c>
      <c r="G13" s="64">
        <v>37</v>
      </c>
      <c r="H13" s="64">
        <v>47</v>
      </c>
      <c r="I13" s="64">
        <f>SUM(G13:H13)</f>
        <v>84</v>
      </c>
      <c r="J13" s="69">
        <f>I13*IF(F13&gt;125.441,1,10^(1.056683941*LOG(F13/125.441)^2))</f>
        <v>118.71278432474784</v>
      </c>
      <c r="K13" s="68">
        <v>40809</v>
      </c>
      <c r="L13" s="26" t="s">
        <v>95</v>
      </c>
      <c r="M13" s="27">
        <f>IF(D13&gt;=1995,I13/VLOOKUP(B13,Standards!$J$3:$Q$11,7),"---")</f>
        <v>0.9032258064516129</v>
      </c>
      <c r="N13" s="25" t="str">
        <f>IF((D13&gt;=1995)*AND(F13&gt;69),(I13/Standards!$P$10),"---")</f>
        <v>---</v>
      </c>
    </row>
    <row r="14" spans="1:14" ht="11.25">
      <c r="A14" s="23" t="str">
        <f>IF(2012-D14&lt;18,"Yth",IF(2012-D14&lt;21,"Jun","Sen"))</f>
        <v>Yth</v>
      </c>
      <c r="B14" s="7">
        <f>VLOOKUP(F14,Women__weight_categories,2,TRUE)</f>
        <v>44</v>
      </c>
      <c r="C14" s="26" t="s">
        <v>94</v>
      </c>
      <c r="D14" s="64">
        <v>1997</v>
      </c>
      <c r="E14" s="65" t="s">
        <v>9</v>
      </c>
      <c r="F14" s="66">
        <v>39.9</v>
      </c>
      <c r="G14" s="64">
        <v>25</v>
      </c>
      <c r="H14" s="64">
        <v>38</v>
      </c>
      <c r="I14" s="64">
        <f>SUM(G14:H14)</f>
        <v>63</v>
      </c>
      <c r="J14" s="69">
        <f>I14*IF(F14&gt;125.441,1,10^(1.056683941*LOG(F14/125.441)^2))</f>
        <v>115.03800087152827</v>
      </c>
      <c r="K14" s="68">
        <v>40809</v>
      </c>
      <c r="L14" s="26" t="s">
        <v>95</v>
      </c>
      <c r="M14" s="27">
        <f>IF(D14&gt;=1995,I14/VLOOKUP(B14,Standards!$J$3:$Q$11,7),"---")</f>
        <v>0.8289473684210527</v>
      </c>
      <c r="N14" s="25" t="str">
        <f>IF((D14&gt;=1995)*AND(F14&gt;69),(I14/Standards!$P$10),"---")</f>
        <v>---</v>
      </c>
    </row>
    <row r="15" spans="1:14" ht="11.25">
      <c r="A15" s="23" t="str">
        <f>IF(2012-D15&lt;18,"Yth",IF(2012-D15&lt;21,"Jun","Sen"))</f>
        <v>Yth</v>
      </c>
      <c r="B15" s="7">
        <f>VLOOKUP(F15,Women__weight_categories,2,TRUE)</f>
        <v>44</v>
      </c>
      <c r="C15" s="26" t="s">
        <v>96</v>
      </c>
      <c r="D15" s="64">
        <v>1999</v>
      </c>
      <c r="E15" s="65" t="s">
        <v>34</v>
      </c>
      <c r="F15" s="66">
        <v>44</v>
      </c>
      <c r="G15" s="64">
        <v>28</v>
      </c>
      <c r="H15" s="64">
        <v>34</v>
      </c>
      <c r="I15" s="64">
        <f>SUM(G15:H15)</f>
        <v>62</v>
      </c>
      <c r="J15" s="69">
        <f>I15*IF(F15&gt;125.441,1,10^(1.056683941*LOG(F15/125.441)^2))</f>
        <v>102.59802943173818</v>
      </c>
      <c r="K15" s="68">
        <v>40809</v>
      </c>
      <c r="L15" s="26" t="s">
        <v>95</v>
      </c>
      <c r="M15" s="27">
        <f>IF(D15&gt;=1995,I15/VLOOKUP(B15,Standards!$J$3:$Q$11,7),"---")</f>
        <v>0.8157894736842105</v>
      </c>
      <c r="N15" s="25" t="str">
        <f>IF((D15&gt;=1995)*AND(F15&gt;69),(I15/Standards!$P$10),"---")</f>
        <v>---</v>
      </c>
    </row>
    <row r="16" spans="1:14" ht="11.25">
      <c r="A16" s="23" t="str">
        <f>IF(2012-D16&lt;18,"Yth",IF(2012-D16&lt;21,"Jun","Sen"))</f>
        <v>Yth</v>
      </c>
      <c r="B16" s="7">
        <f>VLOOKUP(F16,Women__weight_categories,2,TRUE)</f>
        <v>48</v>
      </c>
      <c r="C16" s="26" t="s">
        <v>97</v>
      </c>
      <c r="D16" s="64">
        <v>1997</v>
      </c>
      <c r="E16" s="65" t="s">
        <v>9</v>
      </c>
      <c r="F16" s="66">
        <v>46.4</v>
      </c>
      <c r="G16" s="64">
        <v>30</v>
      </c>
      <c r="H16" s="64">
        <v>36</v>
      </c>
      <c r="I16" s="64">
        <f>SUM(G16:H16)</f>
        <v>66</v>
      </c>
      <c r="J16" s="69">
        <f>I16*IF(F16&gt;125.441,1,10^(1.056683941*LOG(F16/125.441)^2))</f>
        <v>103.91419603878613</v>
      </c>
      <c r="K16" s="68">
        <v>40809</v>
      </c>
      <c r="L16" s="26" t="s">
        <v>95</v>
      </c>
      <c r="M16" s="27">
        <f>IF(D16&gt;=1995,I16/VLOOKUP(B16,Standards!$J$3:$Q$11,7),"---")</f>
        <v>0.7857142857142857</v>
      </c>
      <c r="N16" s="25" t="str">
        <f>IF((D16&gt;=1995)*AND(F16&gt;69),(I16/Standards!$P$10),"---")</f>
        <v>---</v>
      </c>
    </row>
    <row r="17" spans="1:14" ht="11.25">
      <c r="A17" s="23" t="str">
        <f>IF(2012-D17&lt;18,"Yth",IF(2012-D17&lt;21,"Jun","Sen"))</f>
        <v>Yth</v>
      </c>
      <c r="B17" s="7">
        <f>VLOOKUP(F17,Women__weight_categories,2,TRUE)</f>
        <v>63</v>
      </c>
      <c r="C17" s="26" t="s">
        <v>99</v>
      </c>
      <c r="D17" s="64">
        <v>1998</v>
      </c>
      <c r="E17" s="65" t="s">
        <v>32</v>
      </c>
      <c r="F17" s="66">
        <v>59.35</v>
      </c>
      <c r="G17" s="64">
        <v>34</v>
      </c>
      <c r="H17" s="64">
        <v>45</v>
      </c>
      <c r="I17" s="64">
        <f>SUM(G17:H17)</f>
        <v>79</v>
      </c>
      <c r="J17" s="69">
        <f>I17*IF(F17&gt;125.441,1,10^(1.056683941*LOG(F17/125.441)^2))</f>
        <v>102.15326094162822</v>
      </c>
      <c r="K17" s="68">
        <v>40809</v>
      </c>
      <c r="L17" s="26" t="s">
        <v>95</v>
      </c>
      <c r="M17" s="27">
        <f>IF(D17&gt;=1995,I17/VLOOKUP(B17,Standards!$J$3:$Q$11,7),"---")</f>
        <v>0.7383177570093458</v>
      </c>
      <c r="N17" s="25" t="str">
        <f>IF((D17&gt;=1995)*AND(F17&gt;69),(I17/Standards!$P$10),"---")</f>
        <v>---</v>
      </c>
    </row>
    <row r="18" spans="1:14" ht="11.25">
      <c r="A18" s="23" t="str">
        <f>IF(2012-D18&lt;18,"Yth",IF(2012-D18&lt;21,"Jun","Sen"))</f>
        <v>Yth</v>
      </c>
      <c r="B18" s="7">
        <f>VLOOKUP(F18,Women__weight_categories,2,TRUE)</f>
        <v>75</v>
      </c>
      <c r="C18" s="26" t="s">
        <v>101</v>
      </c>
      <c r="D18" s="64">
        <v>1997</v>
      </c>
      <c r="E18" s="65" t="s">
        <v>34</v>
      </c>
      <c r="F18" s="66">
        <v>74.95</v>
      </c>
      <c r="G18" s="64">
        <v>29</v>
      </c>
      <c r="H18" s="64">
        <v>48</v>
      </c>
      <c r="I18" s="64">
        <f>SUM(G18:H18)</f>
        <v>77</v>
      </c>
      <c r="J18" s="69">
        <f>I18*IF(F18&gt;125.441,1,10^(1.056683941*LOG(F18/125.441)^2))</f>
        <v>86.96685939409483</v>
      </c>
      <c r="K18" s="68">
        <v>40809</v>
      </c>
      <c r="L18" s="26" t="s">
        <v>95</v>
      </c>
      <c r="M18" s="27">
        <f>IF(D18&gt;=1995,I18/VLOOKUP(B18,Standards!$J$3:$Q$11,7),"---")</f>
        <v>0.6936936936936937</v>
      </c>
      <c r="N18" s="25">
        <f>IF((D18&gt;=1995)*AND(F18&gt;69),(I18/Standards!$P$10),"---")</f>
        <v>0.6637931034482759</v>
      </c>
    </row>
    <row r="19" spans="1:14" ht="11.25">
      <c r="A19" s="23" t="str">
        <f>IF(2012-D19&lt;18,"Yth",IF(2012-D19&lt;21,"Jun","Sen"))</f>
        <v>Yth</v>
      </c>
      <c r="B19" s="7">
        <f>VLOOKUP(F19,Women__weight_categories,2,TRUE)</f>
        <v>63</v>
      </c>
      <c r="C19" s="26" t="s">
        <v>41</v>
      </c>
      <c r="D19" s="64">
        <v>1996</v>
      </c>
      <c r="E19" s="65" t="s">
        <v>9</v>
      </c>
      <c r="F19" s="66">
        <v>58.9</v>
      </c>
      <c r="G19" s="64">
        <v>31</v>
      </c>
      <c r="H19" s="64">
        <v>36</v>
      </c>
      <c r="I19" s="64">
        <f>SUM(G19:H19)</f>
        <v>67</v>
      </c>
      <c r="J19" s="69">
        <f>I19*IF(F19&gt;125.441,1,10^(1.056683941*LOG(F19/125.441)^2))</f>
        <v>87.09273682698142</v>
      </c>
      <c r="K19" s="68">
        <v>40809</v>
      </c>
      <c r="L19" s="26" t="s">
        <v>95</v>
      </c>
      <c r="M19" s="27">
        <f>IF(D19&gt;=1995,I19/VLOOKUP(B19,Standards!$J$3:$Q$11,7),"---")</f>
        <v>0.6261682242990654</v>
      </c>
      <c r="N19" s="25" t="str">
        <f>IF((D19&gt;=1995)*AND(F19&gt;69),(I19/Standards!$P$10),"---")</f>
        <v>---</v>
      </c>
    </row>
    <row r="20" spans="1:14" ht="11.25">
      <c r="A20" s="23" t="str">
        <f>IF(2012-D20&lt;18,"Yth",IF(2012-D20&lt;21,"Jun","Sen"))</f>
        <v>Yth</v>
      </c>
      <c r="B20" s="7" t="str">
        <f>VLOOKUP(F20,Women__weight_categories,2,TRUE)</f>
        <v>75+</v>
      </c>
      <c r="C20" s="26" t="s">
        <v>102</v>
      </c>
      <c r="D20" s="64">
        <v>1998</v>
      </c>
      <c r="E20" s="65" t="s">
        <v>30</v>
      </c>
      <c r="F20" s="66">
        <v>94.5</v>
      </c>
      <c r="G20" s="64">
        <v>28</v>
      </c>
      <c r="H20" s="64">
        <v>34</v>
      </c>
      <c r="I20" s="64">
        <f>SUM(G20:H20)</f>
        <v>62</v>
      </c>
      <c r="J20" s="69">
        <f>I20*IF(F20&gt;125.441,1,10^(1.056683941*LOG(F20/125.441)^2))</f>
        <v>64.32506921792165</v>
      </c>
      <c r="K20" s="68">
        <v>40809</v>
      </c>
      <c r="L20" s="26" t="s">
        <v>95</v>
      </c>
      <c r="M20" s="27">
        <f>IF(D20&gt;=1995,I20/VLOOKUP(B20,Standards!$J$3:$Q$11,7),"---")</f>
        <v>0.5081967213114754</v>
      </c>
      <c r="N20" s="25">
        <f>IF((D20&gt;=1995)*AND(F20&gt;69),(I20/Standards!$P$10),"---")</f>
        <v>0.5344827586206896</v>
      </c>
    </row>
    <row r="21" spans="1:12" ht="11.25">
      <c r="A21" s="23"/>
      <c r="B21" s="7"/>
      <c r="C21" s="34"/>
      <c r="D21" s="35"/>
      <c r="E21" s="36"/>
      <c r="F21" s="39"/>
      <c r="G21" s="37"/>
      <c r="H21" s="37"/>
      <c r="I21" s="37"/>
      <c r="J21" s="43"/>
      <c r="K21" s="32"/>
      <c r="L21" s="33"/>
    </row>
    <row r="22" spans="1:12" ht="11.25">
      <c r="A22" s="23"/>
      <c r="B22" s="7"/>
      <c r="C22" s="60"/>
      <c r="D22" s="61"/>
      <c r="E22" s="61"/>
      <c r="F22" s="61"/>
      <c r="G22" s="61"/>
      <c r="H22" s="61"/>
      <c r="I22" s="61"/>
      <c r="J22" s="43"/>
      <c r="K22" s="32"/>
      <c r="L22" s="33"/>
    </row>
    <row r="23" spans="1:12" ht="11.25">
      <c r="A23" s="23"/>
      <c r="B23" s="7"/>
      <c r="C23" s="29"/>
      <c r="D23" s="30"/>
      <c r="E23" s="30"/>
      <c r="F23" s="38"/>
      <c r="G23" s="31"/>
      <c r="H23" s="31"/>
      <c r="I23" s="30"/>
      <c r="J23" s="43"/>
      <c r="K23" s="32"/>
      <c r="L23" s="33"/>
    </row>
    <row r="24" spans="1:12" ht="11.25">
      <c r="A24" s="23"/>
      <c r="B24" s="7"/>
      <c r="C24" s="29"/>
      <c r="D24" s="30"/>
      <c r="E24" s="30"/>
      <c r="F24" s="38"/>
      <c r="G24" s="31"/>
      <c r="H24" s="31"/>
      <c r="I24" s="30"/>
      <c r="J24" s="43"/>
      <c r="K24" s="32"/>
      <c r="L24" s="33"/>
    </row>
    <row r="25" spans="2:12" ht="11.2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</sheetData>
  <sheetProtection/>
  <conditionalFormatting sqref="A2:A24">
    <cfRule type="containsText" priority="5" dxfId="1" operator="containsText" text="Yth">
      <formula>NOT(ISERROR(SEARCH("Yth",A2)))</formula>
    </cfRule>
    <cfRule type="containsText" priority="6" dxfId="0" operator="containsText" text="Jun">
      <formula>NOT(ISERROR(SEARCH("Jun",A2)))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3.8515625" style="26" bestFit="1" customWidth="1"/>
    <col min="2" max="2" width="4.421875" style="26" bestFit="1" customWidth="1"/>
    <col min="3" max="3" width="14.28125" style="26" bestFit="1" customWidth="1"/>
    <col min="4" max="4" width="5.00390625" style="26" bestFit="1" customWidth="1"/>
    <col min="5" max="5" width="4.57421875" style="26" bestFit="1" customWidth="1"/>
    <col min="6" max="6" width="6.140625" style="26" bestFit="1" customWidth="1"/>
    <col min="7" max="7" width="5.8515625" style="26" bestFit="1" customWidth="1"/>
    <col min="8" max="8" width="5.57421875" style="26" bestFit="1" customWidth="1"/>
    <col min="9" max="9" width="4.28125" style="26" bestFit="1" customWidth="1"/>
    <col min="10" max="10" width="6.57421875" style="26" bestFit="1" customWidth="1"/>
    <col min="11" max="11" width="8.7109375" style="26" bestFit="1" customWidth="1"/>
    <col min="12" max="12" width="38.140625" style="26" customWidth="1"/>
    <col min="13" max="13" width="7.140625" style="26" bestFit="1" customWidth="1"/>
    <col min="14" max="16384" width="9.140625" style="26" customWidth="1"/>
  </cols>
  <sheetData>
    <row r="1" spans="1:13" s="3" customFormat="1" ht="11.25">
      <c r="A1" s="28" t="s">
        <v>4</v>
      </c>
      <c r="B1" s="28" t="s">
        <v>22</v>
      </c>
      <c r="C1" s="3" t="s">
        <v>0</v>
      </c>
      <c r="D1" s="4" t="s">
        <v>2</v>
      </c>
      <c r="E1" s="3" t="s">
        <v>10</v>
      </c>
      <c r="F1" s="5" t="s">
        <v>11</v>
      </c>
      <c r="G1" s="6" t="s">
        <v>3</v>
      </c>
      <c r="H1" s="6" t="s">
        <v>12</v>
      </c>
      <c r="I1" s="6" t="s">
        <v>1</v>
      </c>
      <c r="J1" s="5" t="s">
        <v>13</v>
      </c>
      <c r="K1" s="3" t="s">
        <v>14</v>
      </c>
      <c r="L1" s="3" t="s">
        <v>15</v>
      </c>
      <c r="M1" s="28" t="s">
        <v>17</v>
      </c>
    </row>
    <row r="2" spans="1:13" ht="11.25">
      <c r="A2" s="23" t="str">
        <f>IF(2012-D2&lt;18,"Yth",IF(2012-D2&lt;21,"Jun","Sen"))</f>
        <v>Jun</v>
      </c>
      <c r="B2" s="7">
        <f>VLOOKUP(F2,Men__weight_categories,2,TRUE)</f>
        <v>69</v>
      </c>
      <c r="C2" s="26" t="s">
        <v>45</v>
      </c>
      <c r="D2" s="64">
        <v>1993</v>
      </c>
      <c r="E2" s="65" t="s">
        <v>46</v>
      </c>
      <c r="F2" s="66">
        <v>69</v>
      </c>
      <c r="G2" s="64">
        <v>94</v>
      </c>
      <c r="H2" s="64">
        <v>118</v>
      </c>
      <c r="I2" s="64">
        <f>SUM(G2:H2)</f>
        <v>212</v>
      </c>
      <c r="J2" s="66">
        <f>I2*IF(F2&gt;173.961,1,10^(0.784780654*LOG(F2/173.961)^2))</f>
        <v>283.73248504085996</v>
      </c>
      <c r="K2" s="68">
        <v>40810</v>
      </c>
      <c r="L2" s="26" t="s">
        <v>73</v>
      </c>
      <c r="M2" s="8">
        <f>I2/VLOOKUP(B2,Standards!$A$3:$H$12,4)</f>
        <v>0.9380530973451328</v>
      </c>
    </row>
    <row r="3" spans="1:13" ht="11.25">
      <c r="A3" s="23" t="str">
        <f>IF(2012-D3&lt;18,"Yth",IF(2012-D3&lt;21,"Jun","Sen"))</f>
        <v>Jun</v>
      </c>
      <c r="B3" s="7">
        <f>VLOOKUP(F3,Men__weight_categories,2,TRUE)</f>
        <v>85</v>
      </c>
      <c r="C3" s="26" t="s">
        <v>56</v>
      </c>
      <c r="D3" s="64">
        <v>1992</v>
      </c>
      <c r="E3" s="65" t="s">
        <v>30</v>
      </c>
      <c r="F3" s="66">
        <v>83.8</v>
      </c>
      <c r="G3" s="64">
        <v>105</v>
      </c>
      <c r="H3" s="64">
        <v>130</v>
      </c>
      <c r="I3" s="64">
        <f>SUM(G3:H3)</f>
        <v>235</v>
      </c>
      <c r="J3" s="71">
        <f>I3*IF(F3&gt;173.961,1,10^(0.784780654*LOG(F3/173.961)^2))</f>
        <v>281.859805989303</v>
      </c>
      <c r="K3" s="68">
        <v>40810</v>
      </c>
      <c r="L3" s="26" t="s">
        <v>73</v>
      </c>
      <c r="M3" s="8">
        <f>I3/VLOOKUP(B3,Standards!$A$3:$H$12,4)</f>
        <v>0.8935361216730038</v>
      </c>
    </row>
    <row r="4" spans="1:13" ht="11.25">
      <c r="A4" s="23" t="str">
        <f>IF(2012-D4&lt;18,"Yth",IF(2012-D4&lt;21,"Jun","Sen"))</f>
        <v>Jun</v>
      </c>
      <c r="B4" s="7">
        <f>VLOOKUP(F4,Men__weight_categories,2,TRUE)</f>
        <v>77</v>
      </c>
      <c r="C4" s="26" t="s">
        <v>55</v>
      </c>
      <c r="D4" s="64">
        <v>1993</v>
      </c>
      <c r="E4" s="65" t="s">
        <v>30</v>
      </c>
      <c r="F4" s="66">
        <v>76.5</v>
      </c>
      <c r="G4" s="64">
        <v>102</v>
      </c>
      <c r="H4" s="64">
        <v>122</v>
      </c>
      <c r="I4" s="64">
        <f>SUM(G4:H4)</f>
        <v>224</v>
      </c>
      <c r="J4" s="66">
        <f>I4*IF(F4&gt;173.961,1,10^(0.784780654*LOG(F4/173.961)^2))</f>
        <v>281.9357510102171</v>
      </c>
      <c r="K4" s="68">
        <v>40810</v>
      </c>
      <c r="L4" s="26" t="s">
        <v>73</v>
      </c>
      <c r="M4" s="8">
        <f>I4/VLOOKUP(B4,Standards!$A$3:$H$12,4)</f>
        <v>0.8888888888888888</v>
      </c>
    </row>
    <row r="5" spans="1:13" ht="11.25">
      <c r="A5" s="23" t="str">
        <f>IF(2012-D5&lt;18,"Yth",IF(2012-D5&lt;21,"Jun","Sen"))</f>
        <v>Jun</v>
      </c>
      <c r="B5" s="7">
        <f>VLOOKUP(F5,Men__weight_categories,2,TRUE)</f>
        <v>85</v>
      </c>
      <c r="C5" s="26" t="s">
        <v>84</v>
      </c>
      <c r="D5" s="64">
        <v>1992</v>
      </c>
      <c r="E5" s="65" t="s">
        <v>32</v>
      </c>
      <c r="F5" s="66">
        <v>83.8</v>
      </c>
      <c r="G5" s="64">
        <v>95</v>
      </c>
      <c r="H5" s="64">
        <v>113</v>
      </c>
      <c r="I5" s="64">
        <f>SUM(G5:H5)</f>
        <v>208</v>
      </c>
      <c r="J5" s="71">
        <f>I5*IF(F5&gt;173.961,1,10^(0.784780654*LOG(F5/173.961)^2))</f>
        <v>249.47591338627674</v>
      </c>
      <c r="K5" s="68">
        <v>40810</v>
      </c>
      <c r="L5" s="26" t="s">
        <v>73</v>
      </c>
      <c r="M5" s="8">
        <f>I5/VLOOKUP(B5,Standards!$A$3:$H$12,4)</f>
        <v>0.7908745247148289</v>
      </c>
    </row>
    <row r="6" spans="1:13" ht="11.25">
      <c r="A6" s="23" t="str">
        <f>IF(2012-D6&lt;18,"Yth",IF(2012-D6&lt;21,"Jun","Sen"))</f>
        <v>Yth</v>
      </c>
      <c r="B6" s="7">
        <f>VLOOKUP(F6,Men__weight_categories,2,TRUE)</f>
        <v>56</v>
      </c>
      <c r="C6" s="26" t="s">
        <v>39</v>
      </c>
      <c r="D6" s="64">
        <v>1996</v>
      </c>
      <c r="E6" s="65" t="s">
        <v>9</v>
      </c>
      <c r="F6" s="66">
        <v>54</v>
      </c>
      <c r="G6" s="64">
        <v>62</v>
      </c>
      <c r="H6" s="64">
        <v>85</v>
      </c>
      <c r="I6" s="64">
        <f>SUM(G6:H6)</f>
        <v>147</v>
      </c>
      <c r="J6" s="69">
        <f>I6*IF(F6&gt;173.961,1,10^(0.784780654*LOG(F6/173.961)^2))</f>
        <v>234.36207031324196</v>
      </c>
      <c r="K6" s="68">
        <v>40810</v>
      </c>
      <c r="L6" s="26" t="s">
        <v>73</v>
      </c>
      <c r="M6" s="8">
        <f>I6/VLOOKUP(B6,Standards!$A$3:$H$12,4)</f>
        <v>0.7819148936170213</v>
      </c>
    </row>
    <row r="7" spans="1:13" ht="11.25">
      <c r="A7" s="23" t="str">
        <f>IF(2012-D7&lt;18,"Yth",IF(2012-D7&lt;21,"Jun","Sen"))</f>
        <v>Jun</v>
      </c>
      <c r="B7" s="7">
        <f>VLOOKUP(F7,Men__weight_categories,2,TRUE)</f>
        <v>85</v>
      </c>
      <c r="C7" s="26" t="s">
        <v>43</v>
      </c>
      <c r="D7" s="64">
        <v>1993</v>
      </c>
      <c r="E7" s="65" t="s">
        <v>9</v>
      </c>
      <c r="F7" s="66">
        <v>79.2</v>
      </c>
      <c r="G7" s="64">
        <v>92</v>
      </c>
      <c r="H7" s="64">
        <v>113</v>
      </c>
      <c r="I7" s="64">
        <f>SUM(G7:H7)</f>
        <v>205</v>
      </c>
      <c r="J7" s="71">
        <f>I7*IF(F7&gt;173.961,1,10^(0.784780654*LOG(F7/173.961)^2))</f>
        <v>253.16187693041124</v>
      </c>
      <c r="K7" s="68">
        <v>40810</v>
      </c>
      <c r="L7" s="26" t="s">
        <v>73</v>
      </c>
      <c r="M7" s="8">
        <f>I7/VLOOKUP(B7,Standards!$A$3:$H$12,4)</f>
        <v>0.779467680608365</v>
      </c>
    </row>
    <row r="8" spans="1:13" ht="11.25">
      <c r="A8" s="23" t="str">
        <f>IF(2012-D8&lt;18,"Yth",IF(2012-D8&lt;21,"Jun","Sen"))</f>
        <v>Yth</v>
      </c>
      <c r="B8" s="7">
        <f>VLOOKUP(F8,Men__weight_categories,2,TRUE)</f>
        <v>69</v>
      </c>
      <c r="C8" s="26" t="s">
        <v>53</v>
      </c>
      <c r="D8" s="64">
        <v>1996</v>
      </c>
      <c r="E8" s="65" t="s">
        <v>9</v>
      </c>
      <c r="F8" s="66">
        <v>67.5</v>
      </c>
      <c r="G8" s="64">
        <v>76</v>
      </c>
      <c r="H8" s="64">
        <v>100</v>
      </c>
      <c r="I8" s="64">
        <f>SUM(G8:H8)</f>
        <v>176</v>
      </c>
      <c r="J8" s="66">
        <f>I8*IF(F8&gt;173.961,1,10^(0.784780654*LOG(F8/173.961)^2))</f>
        <v>238.87690874099565</v>
      </c>
      <c r="K8" s="68">
        <v>40810</v>
      </c>
      <c r="L8" s="26" t="s">
        <v>73</v>
      </c>
      <c r="M8" s="8">
        <f>I8/VLOOKUP(B8,Standards!$A$3:$H$12,4)</f>
        <v>0.7787610619469026</v>
      </c>
    </row>
    <row r="9" spans="1:13" ht="11.25">
      <c r="A9" s="23" t="str">
        <f>IF(2012-D9&lt;18,"Yth",IF(2012-D9&lt;21,"Jun","Sen"))</f>
        <v>Jun</v>
      </c>
      <c r="B9" s="7">
        <f>VLOOKUP(F9,Men__weight_categories,2,TRUE)</f>
        <v>77</v>
      </c>
      <c r="C9" s="26" t="s">
        <v>37</v>
      </c>
      <c r="D9" s="64">
        <v>1994</v>
      </c>
      <c r="E9" s="65" t="s">
        <v>9</v>
      </c>
      <c r="F9" s="66">
        <v>76.9</v>
      </c>
      <c r="G9" s="64">
        <v>91</v>
      </c>
      <c r="H9" s="64">
        <v>105</v>
      </c>
      <c r="I9" s="64">
        <f>SUM(G9:H9)</f>
        <v>196</v>
      </c>
      <c r="J9" s="66">
        <f>I9*IF(F9&gt;173.961,1,10^(0.784780654*LOG(F9/173.961)^2))</f>
        <v>245.97664422788657</v>
      </c>
      <c r="K9" s="68">
        <v>40810</v>
      </c>
      <c r="L9" s="26" t="s">
        <v>73</v>
      </c>
      <c r="M9" s="8">
        <f>I9/VLOOKUP(B9,Standards!$A$3:$H$12,4)</f>
        <v>0.7777777777777778</v>
      </c>
    </row>
    <row r="10" spans="1:13" ht="11.25">
      <c r="A10" s="23" t="str">
        <f>IF(2012-D10&lt;18,"Yth",IF(2012-D10&lt;21,"Jun","Sen"))</f>
        <v>Jun</v>
      </c>
      <c r="B10" s="7">
        <f>VLOOKUP(F10,Men__weight_categories,2,TRUE)</f>
        <v>69</v>
      </c>
      <c r="C10" s="26" t="s">
        <v>44</v>
      </c>
      <c r="D10" s="64">
        <v>1992</v>
      </c>
      <c r="E10" s="65" t="s">
        <v>9</v>
      </c>
      <c r="F10" s="66">
        <v>65.15</v>
      </c>
      <c r="G10" s="64">
        <v>70</v>
      </c>
      <c r="H10" s="64">
        <v>105</v>
      </c>
      <c r="I10" s="64">
        <f>SUM(G10:H10)</f>
        <v>175</v>
      </c>
      <c r="J10" s="66">
        <f>I10*IF(F10&gt;173.961,1,10^(0.784780654*LOG(F10/173.961)^2))</f>
        <v>243.11765788844528</v>
      </c>
      <c r="K10" s="68">
        <v>40810</v>
      </c>
      <c r="L10" s="26" t="s">
        <v>73</v>
      </c>
      <c r="M10" s="8">
        <f>I10/VLOOKUP(B10,Standards!$A$3:$H$12,4)</f>
        <v>0.7743362831858407</v>
      </c>
    </row>
    <row r="11" spans="1:13" ht="11.25">
      <c r="A11" s="23" t="str">
        <f>IF(2012-D11&lt;18,"Yth",IF(2012-D11&lt;21,"Jun","Sen"))</f>
        <v>Jun</v>
      </c>
      <c r="B11" s="7">
        <f>VLOOKUP(F11,Men__weight_categories,2,TRUE)</f>
        <v>69</v>
      </c>
      <c r="C11" s="26" t="s">
        <v>81</v>
      </c>
      <c r="D11" s="64">
        <v>1994</v>
      </c>
      <c r="E11" s="65" t="s">
        <v>9</v>
      </c>
      <c r="F11" s="66">
        <v>65.15</v>
      </c>
      <c r="G11" s="64">
        <v>72</v>
      </c>
      <c r="H11" s="64">
        <v>100</v>
      </c>
      <c r="I11" s="64">
        <f>SUM(G11:H11)</f>
        <v>172</v>
      </c>
      <c r="J11" s="66">
        <f>I11*IF(F11&gt;173.961,1,10^(0.784780654*LOG(F11/173.961)^2))</f>
        <v>238.94992661035764</v>
      </c>
      <c r="K11" s="68">
        <v>40810</v>
      </c>
      <c r="L11" s="26" t="s">
        <v>73</v>
      </c>
      <c r="M11" s="8">
        <f>I11/VLOOKUP(B11,Standards!$A$3:$H$12,4)</f>
        <v>0.7610619469026548</v>
      </c>
    </row>
    <row r="12" spans="1:13" ht="11.25">
      <c r="A12" s="23" t="str">
        <f>IF(2012-D12&lt;18,"Yth",IF(2012-D12&lt;21,"Jun","Sen"))</f>
        <v>Yth</v>
      </c>
      <c r="B12" s="7">
        <f>VLOOKUP(F12,Men__weight_categories,2,TRUE)</f>
        <v>56</v>
      </c>
      <c r="C12" s="26" t="s">
        <v>61</v>
      </c>
      <c r="D12" s="64">
        <v>1995</v>
      </c>
      <c r="E12" s="65" t="s">
        <v>30</v>
      </c>
      <c r="F12" s="66">
        <v>54.15</v>
      </c>
      <c r="G12" s="64">
        <v>61</v>
      </c>
      <c r="H12" s="64">
        <v>78</v>
      </c>
      <c r="I12" s="64">
        <f>SUM(G12:H12)</f>
        <v>139</v>
      </c>
      <c r="J12" s="69">
        <f>I12*IF(F12&gt;173.961,1,10^(0.784780654*LOG(F12/173.961)^2))</f>
        <v>221.1185956274535</v>
      </c>
      <c r="K12" s="68">
        <v>40810</v>
      </c>
      <c r="L12" s="26" t="s">
        <v>73</v>
      </c>
      <c r="M12" s="8">
        <f>I12/VLOOKUP(B12,Standards!$A$3:$H$12,4)</f>
        <v>0.7393617021276596</v>
      </c>
    </row>
    <row r="13" spans="1:13" ht="11.25">
      <c r="A13" s="23" t="str">
        <f>IF(2012-D13&lt;18,"Yth",IF(2012-D13&lt;21,"Jun","Sen"))</f>
        <v>Jun</v>
      </c>
      <c r="B13" s="7">
        <f>VLOOKUP(F13,Men__weight_categories,2,TRUE)</f>
        <v>105</v>
      </c>
      <c r="C13" s="26" t="s">
        <v>62</v>
      </c>
      <c r="D13" s="64">
        <v>1994</v>
      </c>
      <c r="E13" s="65" t="s">
        <v>35</v>
      </c>
      <c r="F13" s="66">
        <v>101.55</v>
      </c>
      <c r="G13" s="64">
        <v>90</v>
      </c>
      <c r="H13" s="64">
        <v>115</v>
      </c>
      <c r="I13" s="64">
        <f>SUM(G13:H13)</f>
        <v>205</v>
      </c>
      <c r="J13" s="69">
        <f>I13*IF(F13&gt;173.961,1,10^(0.784780654*LOG(F13/173.961)^2))</f>
        <v>226.2776190201978</v>
      </c>
      <c r="K13" s="68">
        <v>40810</v>
      </c>
      <c r="L13" s="26" t="s">
        <v>73</v>
      </c>
      <c r="M13" s="8">
        <f>I13/VLOOKUP(B13,Standards!$A$3:$H$12,4)</f>
        <v>0.7243816254416962</v>
      </c>
    </row>
    <row r="14" spans="1:13" ht="11.25">
      <c r="A14" s="23" t="str">
        <f>IF(2012-D14&lt;18,"Yth",IF(2012-D14&lt;21,"Jun","Sen"))</f>
        <v>Jun</v>
      </c>
      <c r="B14" s="7">
        <f>VLOOKUP(F14,Men__weight_categories,2,TRUE)</f>
        <v>85</v>
      </c>
      <c r="C14" s="26" t="s">
        <v>65</v>
      </c>
      <c r="D14" s="64">
        <v>1994</v>
      </c>
      <c r="E14" s="65" t="s">
        <v>32</v>
      </c>
      <c r="F14" s="66">
        <v>81.95</v>
      </c>
      <c r="G14" s="64">
        <v>75</v>
      </c>
      <c r="H14" s="64">
        <v>108</v>
      </c>
      <c r="I14" s="64">
        <f>SUM(G14:H14)</f>
        <v>183</v>
      </c>
      <c r="J14" s="71">
        <f>I14*IF(F14&gt;173.961,1,10^(0.784780654*LOG(F14/173.961)^2))</f>
        <v>221.98165793830523</v>
      </c>
      <c r="K14" s="68">
        <v>40810</v>
      </c>
      <c r="L14" s="26" t="s">
        <v>73</v>
      </c>
      <c r="M14" s="8">
        <f>I14/VLOOKUP(B14,Standards!$A$3:$H$12,4)</f>
        <v>0.6958174904942965</v>
      </c>
    </row>
    <row r="15" spans="1:13" ht="11.25">
      <c r="A15" s="23" t="str">
        <f>IF(2012-D15&lt;18,"Yth",IF(2012-D15&lt;21,"Jun","Sen"))</f>
        <v>Jun</v>
      </c>
      <c r="B15" s="7">
        <f>VLOOKUP(F15,Men__weight_categories,2,TRUE)</f>
        <v>85</v>
      </c>
      <c r="C15" s="26" t="s">
        <v>86</v>
      </c>
      <c r="D15" s="64">
        <v>1994</v>
      </c>
      <c r="E15" s="65" t="s">
        <v>30</v>
      </c>
      <c r="F15" s="66">
        <v>78.2</v>
      </c>
      <c r="G15" s="64">
        <v>77</v>
      </c>
      <c r="H15" s="64">
        <v>105</v>
      </c>
      <c r="I15" s="64">
        <f>SUM(G15:H15)</f>
        <v>182</v>
      </c>
      <c r="J15" s="71">
        <f>I15*IF(F15&gt;173.961,1,10^(0.784780654*LOG(F15/173.961)^2))</f>
        <v>226.30784168674884</v>
      </c>
      <c r="K15" s="68">
        <v>40810</v>
      </c>
      <c r="L15" s="26" t="s">
        <v>73</v>
      </c>
      <c r="M15" s="8">
        <f>I15/VLOOKUP(B15,Standards!$A$3:$H$12,4)</f>
        <v>0.6920152091254753</v>
      </c>
    </row>
    <row r="16" spans="1:13" ht="11.25">
      <c r="A16" s="23" t="str">
        <f>IF(2012-D16&lt;18,"Yth",IF(2012-D16&lt;21,"Jun","Sen"))</f>
        <v>Yth</v>
      </c>
      <c r="B16" s="7">
        <f>VLOOKUP(F16,Men__weight_categories,2,TRUE)</f>
        <v>105</v>
      </c>
      <c r="C16" s="26" t="s">
        <v>90</v>
      </c>
      <c r="D16" s="64">
        <v>1995</v>
      </c>
      <c r="E16" s="65" t="s">
        <v>30</v>
      </c>
      <c r="F16" s="66">
        <v>103</v>
      </c>
      <c r="G16" s="64">
        <v>88</v>
      </c>
      <c r="H16" s="64">
        <v>105</v>
      </c>
      <c r="I16" s="64">
        <f>SUM(G16:H16)</f>
        <v>193</v>
      </c>
      <c r="J16" s="69">
        <f>I16*IF(F16&gt;173.961,1,10^(0.784780654*LOG(F16/173.961)^2))</f>
        <v>211.94128793517234</v>
      </c>
      <c r="K16" s="68">
        <v>40810</v>
      </c>
      <c r="L16" s="26" t="s">
        <v>73</v>
      </c>
      <c r="M16" s="8">
        <f>I16/VLOOKUP(B16,Standards!$A$3:$H$12,4)</f>
        <v>0.6819787985865724</v>
      </c>
    </row>
    <row r="17" spans="1:13" ht="11.25">
      <c r="A17" s="23" t="str">
        <f>IF(2012-D17&lt;18,"Yth",IF(2012-D17&lt;21,"Jun","Sen"))</f>
        <v>Yth</v>
      </c>
      <c r="B17" s="7">
        <f>VLOOKUP(F17,Men__weight_categories,2,TRUE)</f>
        <v>56</v>
      </c>
      <c r="C17" s="26" t="s">
        <v>40</v>
      </c>
      <c r="D17" s="64">
        <v>1996</v>
      </c>
      <c r="E17" s="65" t="s">
        <v>9</v>
      </c>
      <c r="F17" s="66">
        <v>52.95</v>
      </c>
      <c r="G17" s="64">
        <v>53</v>
      </c>
      <c r="H17" s="64">
        <v>74</v>
      </c>
      <c r="I17" s="64">
        <f>SUM(G17:H17)</f>
        <v>127</v>
      </c>
      <c r="J17" s="69">
        <f>I17*IF(F17&gt;173.961,1,10^(0.784780654*LOG(F17/173.961)^2))</f>
        <v>205.69848356444152</v>
      </c>
      <c r="K17" s="68">
        <v>40810</v>
      </c>
      <c r="L17" s="26" t="s">
        <v>73</v>
      </c>
      <c r="M17" s="8">
        <f>I17/VLOOKUP(B17,Standards!$A$3:$H$12,4)</f>
        <v>0.675531914893617</v>
      </c>
    </row>
    <row r="18" spans="1:13" ht="11.25">
      <c r="A18" s="23" t="str">
        <f>IF(2012-D18&lt;18,"Yth",IF(2012-D18&lt;21,"Jun","Sen"))</f>
        <v>Jun</v>
      </c>
      <c r="B18" s="7">
        <f>VLOOKUP(F18,Men__weight_categories,2,TRUE)</f>
        <v>105</v>
      </c>
      <c r="C18" s="26" t="s">
        <v>91</v>
      </c>
      <c r="D18" s="64">
        <v>1994</v>
      </c>
      <c r="E18" s="65" t="s">
        <v>52</v>
      </c>
      <c r="F18" s="66">
        <v>101.95</v>
      </c>
      <c r="G18" s="64">
        <v>81</v>
      </c>
      <c r="H18" s="64">
        <v>100</v>
      </c>
      <c r="I18" s="64">
        <f>SUM(G18:H18)</f>
        <v>181</v>
      </c>
      <c r="J18" s="69">
        <f>I18*IF(F18&gt;173.961,1,10^(0.784780654*LOG(F18/173.961)^2))</f>
        <v>199.49965969739392</v>
      </c>
      <c r="K18" s="68">
        <v>40810</v>
      </c>
      <c r="L18" s="26" t="s">
        <v>73</v>
      </c>
      <c r="M18" s="8">
        <f>I18/VLOOKUP(B18,Standards!$A$3:$H$12,4)</f>
        <v>0.6395759717314488</v>
      </c>
    </row>
    <row r="19" spans="1:13" ht="11.25">
      <c r="A19" s="23" t="str">
        <f>IF(2012-D19&lt;18,"Yth",IF(2012-D19&lt;21,"Jun","Sen"))</f>
        <v>Yth</v>
      </c>
      <c r="B19" s="7">
        <f>VLOOKUP(F19,Men__weight_categories,2,TRUE)</f>
        <v>62</v>
      </c>
      <c r="C19" s="26" t="s">
        <v>47</v>
      </c>
      <c r="D19" s="64">
        <v>1998</v>
      </c>
      <c r="E19" s="65" t="s">
        <v>46</v>
      </c>
      <c r="F19" s="66">
        <v>56.35</v>
      </c>
      <c r="G19" s="64">
        <v>58</v>
      </c>
      <c r="H19" s="64">
        <v>74</v>
      </c>
      <c r="I19" s="64">
        <f>SUM(G19:H19)</f>
        <v>132</v>
      </c>
      <c r="J19" s="66">
        <f>I19*IF(F19&gt;173.961,1,10^(0.784780654*LOG(F19/173.961)^2))</f>
        <v>203.54477797085877</v>
      </c>
      <c r="K19" s="68">
        <v>40810</v>
      </c>
      <c r="L19" s="26" t="s">
        <v>73</v>
      </c>
      <c r="M19" s="8">
        <f>I19/VLOOKUP(B19,Standards!$A$3:$H$12,4)</f>
        <v>0.6226415094339622</v>
      </c>
    </row>
    <row r="20" spans="1:13" ht="11.25">
      <c r="A20" s="23" t="str">
        <f>IF(2012-D20&lt;18,"Yth",IF(2012-D20&lt;21,"Jun","Sen"))</f>
        <v>Jun</v>
      </c>
      <c r="B20" s="7">
        <f>VLOOKUP(F20,Men__weight_categories,2,TRUE)</f>
        <v>85</v>
      </c>
      <c r="C20" s="26" t="s">
        <v>87</v>
      </c>
      <c r="D20" s="64">
        <v>1994</v>
      </c>
      <c r="E20" s="65" t="s">
        <v>30</v>
      </c>
      <c r="F20" s="66">
        <v>84.55</v>
      </c>
      <c r="G20" s="64">
        <v>72</v>
      </c>
      <c r="H20" s="64">
        <v>90</v>
      </c>
      <c r="I20" s="64">
        <f>SUM(G20:H20)</f>
        <v>162</v>
      </c>
      <c r="J20" s="71">
        <f>I20*IF(F20&gt;173.961,1,10^(0.784780654*LOG(F20/173.961)^2))</f>
        <v>193.44854595570513</v>
      </c>
      <c r="K20" s="68">
        <v>40810</v>
      </c>
      <c r="L20" s="26" t="s">
        <v>73</v>
      </c>
      <c r="M20" s="8">
        <f>I20/VLOOKUP(B20,Standards!$A$3:$H$12,4)</f>
        <v>0.6159695817490495</v>
      </c>
    </row>
    <row r="21" spans="1:13" ht="11.25">
      <c r="A21" s="23" t="str">
        <f>IF(2012-D21&lt;18,"Yth",IF(2012-D21&lt;21,"Jun","Sen"))</f>
        <v>Yth</v>
      </c>
      <c r="B21" s="7">
        <f>VLOOKUP(F21,Men__weight_categories,2,TRUE)</f>
        <v>56</v>
      </c>
      <c r="C21" s="26" t="s">
        <v>74</v>
      </c>
      <c r="D21" s="64">
        <v>1996</v>
      </c>
      <c r="E21" s="65" t="s">
        <v>30</v>
      </c>
      <c r="F21" s="66">
        <v>51</v>
      </c>
      <c r="G21" s="64">
        <v>46</v>
      </c>
      <c r="H21" s="64">
        <v>61</v>
      </c>
      <c r="I21" s="64">
        <f>SUM(G21:H21)</f>
        <v>107</v>
      </c>
      <c r="J21" s="69">
        <f>I21*IF(F21&gt;173.961,1,10^(0.784780654*LOG(F21/173.961)^2))</f>
        <v>178.7443772653986</v>
      </c>
      <c r="K21" s="68">
        <v>40810</v>
      </c>
      <c r="L21" s="26" t="s">
        <v>73</v>
      </c>
      <c r="M21" s="8">
        <f>I21/VLOOKUP(B21,Standards!$A$3:$H$12,4)</f>
        <v>0.5691489361702128</v>
      </c>
    </row>
    <row r="22" spans="1:13" ht="11.25">
      <c r="A22" s="23" t="str">
        <f>IF(2012-D22&lt;18,"Yth",IF(2012-D22&lt;21,"Jun","Sen"))</f>
        <v>Yth</v>
      </c>
      <c r="B22" s="7">
        <f>VLOOKUP(F22,Men__weight_categories,2,TRUE)</f>
        <v>77</v>
      </c>
      <c r="C22" s="26" t="s">
        <v>38</v>
      </c>
      <c r="D22" s="64">
        <v>1996</v>
      </c>
      <c r="E22" s="65" t="s">
        <v>9</v>
      </c>
      <c r="F22" s="66">
        <v>69.55</v>
      </c>
      <c r="G22" s="64">
        <v>63</v>
      </c>
      <c r="H22" s="64">
        <v>80</v>
      </c>
      <c r="I22" s="64">
        <f>SUM(G22:H22)</f>
        <v>143</v>
      </c>
      <c r="J22" s="66">
        <f>I22*IF(F22&gt;173.961,1,10^(0.784780654*LOG(F22/173.961)^2))</f>
        <v>190.43427989508604</v>
      </c>
      <c r="K22" s="68">
        <v>40810</v>
      </c>
      <c r="L22" s="26" t="s">
        <v>73</v>
      </c>
      <c r="M22" s="8">
        <f>I22/VLOOKUP(B22,Standards!$A$3:$H$12,4)</f>
        <v>0.5674603174603174</v>
      </c>
    </row>
    <row r="23" spans="1:13" ht="11.25">
      <c r="A23" s="23"/>
      <c r="B23" s="7"/>
      <c r="D23" s="64"/>
      <c r="E23" s="65"/>
      <c r="F23" s="66"/>
      <c r="G23" s="64"/>
      <c r="H23" s="64"/>
      <c r="I23" s="64"/>
      <c r="J23" s="66"/>
      <c r="K23" s="68"/>
      <c r="M23" s="8"/>
    </row>
    <row r="24" spans="1:13" ht="11.25">
      <c r="A24" s="23"/>
      <c r="B24" s="7"/>
      <c r="D24" s="64"/>
      <c r="E24" s="65"/>
      <c r="F24" s="66"/>
      <c r="G24" s="64"/>
      <c r="H24" s="64"/>
      <c r="I24" s="64"/>
      <c r="J24" s="66"/>
      <c r="K24" s="68"/>
      <c r="M24" s="8"/>
    </row>
    <row r="25" spans="1:13" ht="11.25">
      <c r="A25" s="23"/>
      <c r="B25" s="7"/>
      <c r="D25" s="64"/>
      <c r="E25" s="65"/>
      <c r="F25" s="66"/>
      <c r="G25" s="64"/>
      <c r="H25" s="64"/>
      <c r="I25" s="64"/>
      <c r="J25" s="66"/>
      <c r="K25" s="68"/>
      <c r="M25" s="8"/>
    </row>
    <row r="26" spans="1:13" ht="11.25">
      <c r="A26" s="23"/>
      <c r="B26" s="7"/>
      <c r="D26" s="64"/>
      <c r="E26" s="65"/>
      <c r="F26" s="66"/>
      <c r="G26" s="64"/>
      <c r="H26" s="64"/>
      <c r="I26" s="64"/>
      <c r="J26" s="69"/>
      <c r="K26" s="68"/>
      <c r="M26" s="8"/>
    </row>
    <row r="27" spans="1:13" ht="11.25">
      <c r="A27" s="23"/>
      <c r="B27" s="7"/>
      <c r="D27" s="64"/>
      <c r="E27" s="65"/>
      <c r="F27" s="66"/>
      <c r="G27" s="64"/>
      <c r="H27" s="64"/>
      <c r="I27" s="64"/>
      <c r="J27" s="66"/>
      <c r="K27" s="68"/>
      <c r="M27" s="8"/>
    </row>
    <row r="28" spans="1:13" ht="11.25">
      <c r="A28" s="23"/>
      <c r="B28" s="7"/>
      <c r="D28" s="64"/>
      <c r="E28" s="65"/>
      <c r="F28" s="66"/>
      <c r="G28" s="64"/>
      <c r="H28" s="64"/>
      <c r="I28" s="64"/>
      <c r="J28" s="66"/>
      <c r="K28" s="68"/>
      <c r="M28" s="8"/>
    </row>
    <row r="29" spans="1:13" ht="11.25">
      <c r="A29" s="23"/>
      <c r="B29" s="7"/>
      <c r="D29" s="64"/>
      <c r="E29" s="65"/>
      <c r="F29" s="66"/>
      <c r="G29" s="64"/>
      <c r="H29" s="64"/>
      <c r="I29" s="64"/>
      <c r="J29" s="66"/>
      <c r="K29" s="68"/>
      <c r="M29" s="8"/>
    </row>
    <row r="30" spans="1:13" ht="11.25">
      <c r="A30" s="23"/>
      <c r="B30" s="7"/>
      <c r="D30" s="64"/>
      <c r="E30" s="65"/>
      <c r="F30" s="66"/>
      <c r="G30" s="64"/>
      <c r="H30" s="64"/>
      <c r="I30" s="64"/>
      <c r="J30" s="66"/>
      <c r="K30" s="68"/>
      <c r="M30" s="8"/>
    </row>
    <row r="31" spans="1:13" ht="11.25">
      <c r="A31" s="23"/>
      <c r="B31" s="7"/>
      <c r="D31" s="64"/>
      <c r="E31" s="65"/>
      <c r="F31" s="66"/>
      <c r="G31" s="64"/>
      <c r="H31" s="64"/>
      <c r="I31" s="64"/>
      <c r="J31" s="69"/>
      <c r="K31" s="68"/>
      <c r="M31" s="8"/>
    </row>
    <row r="32" spans="1:13" ht="11.25">
      <c r="A32" s="23"/>
      <c r="B32" s="7"/>
      <c r="D32" s="64"/>
      <c r="E32" s="65"/>
      <c r="F32" s="66"/>
      <c r="G32" s="64"/>
      <c r="H32" s="64"/>
      <c r="I32" s="64"/>
      <c r="J32" s="66"/>
      <c r="K32" s="68"/>
      <c r="M32" s="8"/>
    </row>
    <row r="33" spans="1:13" ht="11.25">
      <c r="A33" s="23"/>
      <c r="B33" s="7"/>
      <c r="D33" s="64"/>
      <c r="E33" s="65"/>
      <c r="F33" s="66"/>
      <c r="G33" s="64"/>
      <c r="H33" s="64"/>
      <c r="I33" s="64"/>
      <c r="J33" s="66"/>
      <c r="K33" s="68"/>
      <c r="M33" s="8"/>
    </row>
    <row r="34" spans="1:13" ht="11.25">
      <c r="A34" s="23"/>
      <c r="B34" s="7"/>
      <c r="D34" s="64"/>
      <c r="E34" s="65"/>
      <c r="F34" s="66"/>
      <c r="G34" s="64"/>
      <c r="H34" s="64"/>
      <c r="I34" s="64"/>
      <c r="J34" s="66"/>
      <c r="K34" s="68"/>
      <c r="M34" s="8"/>
    </row>
    <row r="35" spans="1:13" ht="11.25">
      <c r="A35" s="23"/>
      <c r="B35" s="7"/>
      <c r="D35" s="64"/>
      <c r="E35" s="65"/>
      <c r="F35" s="66"/>
      <c r="G35" s="64"/>
      <c r="H35" s="64"/>
      <c r="I35" s="64"/>
      <c r="J35" s="66"/>
      <c r="K35" s="68"/>
      <c r="M35" s="8"/>
    </row>
    <row r="36" spans="1:13" ht="11.25">
      <c r="A36" s="23"/>
      <c r="B36" s="7"/>
      <c r="D36" s="64"/>
      <c r="E36" s="65"/>
      <c r="F36" s="66"/>
      <c r="G36" s="64"/>
      <c r="H36" s="64"/>
      <c r="I36" s="64"/>
      <c r="J36" s="66"/>
      <c r="K36" s="67"/>
      <c r="M36" s="8"/>
    </row>
    <row r="37" spans="1:13" ht="11.25">
      <c r="A37" s="23"/>
      <c r="B37" s="7"/>
      <c r="D37" s="64"/>
      <c r="E37" s="65"/>
      <c r="F37" s="66"/>
      <c r="G37" s="64"/>
      <c r="H37" s="64"/>
      <c r="I37" s="64"/>
      <c r="J37" s="66"/>
      <c r="K37" s="67"/>
      <c r="M37" s="8"/>
    </row>
    <row r="38" spans="1:13" ht="11.25">
      <c r="A38" s="23"/>
      <c r="B38" s="7"/>
      <c r="D38" s="64"/>
      <c r="E38" s="65"/>
      <c r="F38" s="66"/>
      <c r="G38" s="64"/>
      <c r="H38" s="64"/>
      <c r="I38" s="64"/>
      <c r="J38" s="66"/>
      <c r="K38" s="67"/>
      <c r="M38" s="8"/>
    </row>
    <row r="39" spans="1:13" ht="11.25">
      <c r="A39" s="23"/>
      <c r="B39" s="7"/>
      <c r="D39" s="64"/>
      <c r="E39" s="65"/>
      <c r="F39" s="66"/>
      <c r="G39" s="64"/>
      <c r="H39" s="64"/>
      <c r="I39" s="64"/>
      <c r="J39" s="66"/>
      <c r="K39" s="68"/>
      <c r="M39" s="8"/>
    </row>
    <row r="40" spans="1:13" ht="11.25">
      <c r="A40" s="23"/>
      <c r="B40" s="7"/>
      <c r="D40" s="64"/>
      <c r="E40" s="65"/>
      <c r="F40" s="66"/>
      <c r="G40" s="64"/>
      <c r="H40" s="64"/>
      <c r="I40" s="64"/>
      <c r="J40" s="66"/>
      <c r="K40" s="68"/>
      <c r="M40" s="8"/>
    </row>
    <row r="41" spans="1:13" ht="11.25">
      <c r="A41" s="23"/>
      <c r="B41" s="7"/>
      <c r="D41" s="64"/>
      <c r="E41" s="65"/>
      <c r="F41" s="66"/>
      <c r="G41" s="64"/>
      <c r="H41" s="64"/>
      <c r="I41" s="64"/>
      <c r="J41" s="66"/>
      <c r="K41" s="68"/>
      <c r="M41" s="8"/>
    </row>
    <row r="42" spans="1:13" ht="11.25">
      <c r="A42" s="23"/>
      <c r="B42" s="7"/>
      <c r="D42" s="64"/>
      <c r="E42" s="65"/>
      <c r="F42" s="66"/>
      <c r="G42" s="64"/>
      <c r="H42" s="64"/>
      <c r="I42" s="64"/>
      <c r="J42" s="66"/>
      <c r="K42" s="67"/>
      <c r="M42" s="8"/>
    </row>
    <row r="43" spans="1:13" ht="11.25">
      <c r="A43" s="23"/>
      <c r="B43" s="7"/>
      <c r="C43" s="49"/>
      <c r="D43" s="50"/>
      <c r="E43" s="50"/>
      <c r="F43" s="51"/>
      <c r="G43" s="53"/>
      <c r="H43" s="53"/>
      <c r="I43" s="54"/>
      <c r="J43" s="40"/>
      <c r="K43" s="48"/>
      <c r="L43" s="24"/>
      <c r="M43" s="8"/>
    </row>
    <row r="44" spans="1:13" ht="11.25">
      <c r="A44" s="23"/>
      <c r="B44" s="7"/>
      <c r="C44" s="49"/>
      <c r="D44" s="50"/>
      <c r="E44" s="50"/>
      <c r="F44" s="51"/>
      <c r="G44" s="53"/>
      <c r="H44" s="53"/>
      <c r="I44" s="54"/>
      <c r="J44" s="40"/>
      <c r="K44" s="48"/>
      <c r="L44" s="24"/>
      <c r="M44" s="8"/>
    </row>
    <row r="45" spans="1:13" ht="11.25">
      <c r="A45" s="23"/>
      <c r="B45" s="7"/>
      <c r="C45" s="49"/>
      <c r="D45" s="50"/>
      <c r="E45" s="50"/>
      <c r="F45" s="51"/>
      <c r="G45" s="53"/>
      <c r="H45" s="53"/>
      <c r="I45" s="54"/>
      <c r="J45" s="40"/>
      <c r="K45" s="48"/>
      <c r="L45" s="24"/>
      <c r="M45" s="8"/>
    </row>
    <row r="46" spans="1:13" ht="11.25">
      <c r="A46" s="23"/>
      <c r="B46" s="7"/>
      <c r="C46" s="49"/>
      <c r="D46" s="50"/>
      <c r="E46" s="50"/>
      <c r="F46" s="51"/>
      <c r="G46" s="53"/>
      <c r="H46" s="53"/>
      <c r="I46" s="54"/>
      <c r="J46" s="40"/>
      <c r="K46" s="48"/>
      <c r="L46" s="24"/>
      <c r="M46" s="8"/>
    </row>
    <row r="47" spans="1:13" ht="11.25">
      <c r="A47" s="23"/>
      <c r="B47" s="7"/>
      <c r="C47" s="49"/>
      <c r="D47" s="50"/>
      <c r="E47" s="50"/>
      <c r="F47" s="51"/>
      <c r="G47" s="53"/>
      <c r="H47" s="53"/>
      <c r="I47" s="54"/>
      <c r="J47" s="40"/>
      <c r="K47" s="48"/>
      <c r="L47" s="24"/>
      <c r="M47" s="8"/>
    </row>
    <row r="48" spans="1:13" ht="11.25">
      <c r="A48" s="23"/>
      <c r="B48" s="7"/>
      <c r="C48" s="49"/>
      <c r="D48" s="50"/>
      <c r="E48" s="50"/>
      <c r="F48" s="51"/>
      <c r="G48" s="54"/>
      <c r="H48" s="54"/>
      <c r="I48" s="54"/>
      <c r="J48" s="40"/>
      <c r="K48" s="48"/>
      <c r="L48" s="24"/>
      <c r="M48" s="8"/>
    </row>
    <row r="49" spans="1:13" ht="11.25">
      <c r="A49" s="23"/>
      <c r="B49" s="7"/>
      <c r="C49" s="49"/>
      <c r="D49" s="50"/>
      <c r="E49" s="50"/>
      <c r="F49" s="51"/>
      <c r="G49" s="53"/>
      <c r="H49" s="53"/>
      <c r="I49" s="54"/>
      <c r="J49" s="40"/>
      <c r="K49" s="48"/>
      <c r="L49" s="24"/>
      <c r="M49" s="8"/>
    </row>
    <row r="50" spans="1:13" ht="11.25">
      <c r="A50" s="23"/>
      <c r="B50" s="7"/>
      <c r="C50" s="52"/>
      <c r="D50" s="50"/>
      <c r="E50" s="50"/>
      <c r="F50" s="51"/>
      <c r="G50" s="53"/>
      <c r="H50" s="53"/>
      <c r="I50" s="54"/>
      <c r="J50" s="40"/>
      <c r="K50" s="48"/>
      <c r="L50" s="24"/>
      <c r="M50" s="8"/>
    </row>
    <row r="51" spans="1:13" ht="11.25">
      <c r="A51" s="23"/>
      <c r="B51" s="7"/>
      <c r="C51" s="49"/>
      <c r="D51" s="50"/>
      <c r="E51" s="50"/>
      <c r="F51" s="51"/>
      <c r="G51" s="54"/>
      <c r="H51" s="54"/>
      <c r="I51" s="54"/>
      <c r="J51" s="40"/>
      <c r="K51" s="48"/>
      <c r="L51" s="24"/>
      <c r="M51" s="8"/>
    </row>
    <row r="52" spans="1:13" ht="11.25">
      <c r="A52" s="23"/>
      <c r="B52" s="7"/>
      <c r="C52" s="49"/>
      <c r="D52" s="50"/>
      <c r="E52" s="50"/>
      <c r="F52" s="51"/>
      <c r="G52" s="53"/>
      <c r="H52" s="53"/>
      <c r="I52" s="54"/>
      <c r="J52" s="40"/>
      <c r="K52" s="48"/>
      <c r="L52" s="24"/>
      <c r="M52" s="8"/>
    </row>
    <row r="53" spans="1:13" ht="11.25">
      <c r="A53" s="23"/>
      <c r="B53" s="7"/>
      <c r="C53" s="49"/>
      <c r="D53" s="50"/>
      <c r="E53" s="50"/>
      <c r="F53" s="51"/>
      <c r="G53" s="53"/>
      <c r="H53" s="53"/>
      <c r="I53" s="54"/>
      <c r="J53" s="40"/>
      <c r="K53" s="48"/>
      <c r="L53" s="24"/>
      <c r="M53" s="8"/>
    </row>
    <row r="54" spans="1:13" ht="11.25">
      <c r="A54" s="23"/>
      <c r="B54" s="7"/>
      <c r="C54" s="49"/>
      <c r="D54" s="50"/>
      <c r="E54" s="50"/>
      <c r="F54" s="51"/>
      <c r="G54" s="53"/>
      <c r="H54" s="53"/>
      <c r="I54" s="54"/>
      <c r="J54" s="40"/>
      <c r="K54" s="48"/>
      <c r="L54" s="24"/>
      <c r="M54" s="8"/>
    </row>
    <row r="55" spans="1:13" ht="11.25">
      <c r="A55" s="23"/>
      <c r="B55" s="7"/>
      <c r="C55" s="49"/>
      <c r="D55" s="50"/>
      <c r="E55" s="50"/>
      <c r="F55" s="51"/>
      <c r="G55" s="53"/>
      <c r="H55" s="53"/>
      <c r="I55" s="54"/>
      <c r="J55" s="40"/>
      <c r="K55" s="48"/>
      <c r="L55" s="24"/>
      <c r="M55" s="8"/>
    </row>
    <row r="56" spans="1:13" ht="11.25">
      <c r="A56" s="23"/>
      <c r="B56" s="7"/>
      <c r="C56" s="49"/>
      <c r="D56" s="50"/>
      <c r="E56" s="50"/>
      <c r="F56" s="51"/>
      <c r="G56" s="53"/>
      <c r="H56" s="53"/>
      <c r="I56" s="54"/>
      <c r="J56" s="40"/>
      <c r="K56" s="48"/>
      <c r="L56" s="24"/>
      <c r="M56" s="8"/>
    </row>
    <row r="57" spans="1:13" ht="11.25">
      <c r="A57" s="23"/>
      <c r="B57" s="7"/>
      <c r="C57" s="49"/>
      <c r="D57" s="50"/>
      <c r="E57" s="50"/>
      <c r="F57" s="51"/>
      <c r="G57" s="53"/>
      <c r="H57" s="53"/>
      <c r="I57" s="54"/>
      <c r="J57" s="40"/>
      <c r="K57" s="48"/>
      <c r="L57" s="24"/>
      <c r="M57" s="8"/>
    </row>
    <row r="58" spans="1:13" ht="11.25">
      <c r="A58" s="23"/>
      <c r="B58" s="7"/>
      <c r="C58" s="49"/>
      <c r="D58" s="50"/>
      <c r="E58" s="50"/>
      <c r="F58" s="51"/>
      <c r="G58" s="54"/>
      <c r="H58" s="54"/>
      <c r="I58" s="54"/>
      <c r="J58" s="40"/>
      <c r="K58" s="48"/>
      <c r="L58" s="24"/>
      <c r="M58" s="8"/>
    </row>
    <row r="59" spans="1:13" ht="11.25">
      <c r="A59" s="23"/>
      <c r="B59" s="7"/>
      <c r="C59" s="49"/>
      <c r="D59" s="50"/>
      <c r="E59" s="50"/>
      <c r="F59" s="51"/>
      <c r="G59" s="53"/>
      <c r="H59" s="53"/>
      <c r="I59" s="54"/>
      <c r="J59" s="40"/>
      <c r="K59" s="48"/>
      <c r="L59" s="24"/>
      <c r="M59" s="8"/>
    </row>
    <row r="60" spans="1:13" ht="11.25">
      <c r="A60" s="23"/>
      <c r="B60" s="7"/>
      <c r="C60" s="49"/>
      <c r="D60" s="50"/>
      <c r="E60" s="50"/>
      <c r="F60" s="51"/>
      <c r="G60" s="53"/>
      <c r="H60" s="53"/>
      <c r="I60" s="54"/>
      <c r="J60" s="40"/>
      <c r="K60" s="48"/>
      <c r="L60" s="24"/>
      <c r="M60" s="8"/>
    </row>
  </sheetData>
  <sheetProtection/>
  <conditionalFormatting sqref="A2:A60">
    <cfRule type="containsText" priority="6" dxfId="0" operator="containsText" text="Jun">
      <formula>NOT(ISERROR(SEARCH("Jun",A2)))</formula>
    </cfRule>
  </conditionalFormatting>
  <conditionalFormatting sqref="A2:A60">
    <cfRule type="containsText" priority="5" dxfId="1" operator="containsText" text="Yth">
      <formula>NOT(ISERROR(SEARCH("Yth",A2)))</formula>
    </cfRule>
  </conditionalFormatting>
  <dataValidations count="2">
    <dataValidation type="decimal" showInputMessage="1" showErrorMessage="1" promptTitle="Enter the lifter's bodyweight" prompt="The bodyweight must be between 10.00 and 999.99." errorTitle="Bodyweight error" error="The lifter's bodyweight must be between 10.00 and 999.99." sqref="F35:F50 F52:F60">
      <formula1>1</formula1>
      <formula2>999</formula2>
    </dataValidation>
    <dataValidation type="decimal" allowBlank="1" showInputMessage="1" showErrorMessage="1" promptTitle="Enter the lifter's bodyweight" prompt="The bodyweight must be between 10.00 and 999.99." errorTitle="Bodyweight error" error="The lifter's bodyweight must be between 10.00 and 999.99." sqref="F34 F51">
      <formula1>10</formula1>
      <formula2>999.99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League '97 Round 1</dc:title>
  <dc:subject/>
  <dc:creator>boral plasterboard</dc:creator>
  <cp:keywords/>
  <dc:description/>
  <cp:lastModifiedBy>Ian Moir</cp:lastModifiedBy>
  <cp:lastPrinted>2011-03-27T03:40:33Z</cp:lastPrinted>
  <dcterms:created xsi:type="dcterms:W3CDTF">2001-11-25T23:17:01Z</dcterms:created>
  <dcterms:modified xsi:type="dcterms:W3CDTF">2011-10-05T01:49:33Z</dcterms:modified>
  <cp:category/>
  <cp:version/>
  <cp:contentType/>
  <cp:contentStatus/>
</cp:coreProperties>
</file>